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11355" windowHeight="5730"/>
  </bookViews>
  <sheets>
    <sheet name="MIRR Template" sheetId="8" r:id="rId1"/>
    <sheet name="IRR Goal Seek Master" sheetId="4" r:id="rId2"/>
    <sheet name="Master calc Cap Bdgt Book" sheetId="9" r:id="rId3"/>
    <sheet name="Post Mortem Template" sheetId="10" r:id="rId4"/>
    <sheet name="Cap Bdgt Influenced by Hurdle R" sheetId="11" r:id="rId5"/>
  </sheets>
  <definedNames>
    <definedName name="_xlnm._FilterDatabase" localSheetId="4" hidden="1">'Cap Bdgt Influenced by Hurdle R'!$A$15:$AI$77</definedName>
    <definedName name="_xlnm._FilterDatabase" localSheetId="3" hidden="1">'Post Mortem Template'!$A$12:$R$50</definedName>
    <definedName name="IRR_Percent">'IRR Goal Seek Master'!$C$10</definedName>
    <definedName name="Present_Value_Total">'IRR Goal Seek Master'!$S$31</definedName>
    <definedName name="_xlnm.Print_Area" localSheetId="4">'Cap Bdgt Influenced by Hurdle R'!$B$1:$R$109</definedName>
    <definedName name="_xlnm.Print_Area" localSheetId="1">'IRR Goal Seek Master'!$A$3:$S$55</definedName>
    <definedName name="_xlnm.Print_Area" localSheetId="2">'Master calc Cap Bdgt Book'!$A$2:$F$22</definedName>
    <definedName name="_xlnm.Print_Area" localSheetId="0">'MIRR Template'!$A$3:$AH$67</definedName>
    <definedName name="_xlnm.Print_Area" localSheetId="3">'Post Mortem Template'!$A$4:$S$47</definedName>
    <definedName name="_xlnm.Print_Titles" localSheetId="4">'Cap Bdgt Influenced by Hurdle R'!$1:$7</definedName>
    <definedName name="qryRPTSOURCE_05Year__EXPORT_">#REF!</definedName>
  </definedNames>
  <calcPr calcId="145621"/>
</workbook>
</file>

<file path=xl/calcChain.xml><?xml version="1.0" encoding="utf-8"?>
<calcChain xmlns="http://schemas.openxmlformats.org/spreadsheetml/2006/main">
  <c r="C27" i="9" l="1"/>
  <c r="D27" i="9" s="1"/>
  <c r="E27" i="9" s="1"/>
  <c r="F27" i="9" s="1"/>
  <c r="G27" i="9" s="1"/>
  <c r="H27" i="9" s="1"/>
  <c r="I27" i="9" s="1"/>
  <c r="J27" i="9" s="1"/>
  <c r="K27" i="9" s="1"/>
  <c r="L27" i="9" s="1"/>
  <c r="M27" i="9" s="1"/>
  <c r="N27" i="9" s="1"/>
  <c r="O27" i="9" s="1"/>
  <c r="P27" i="9" s="1"/>
  <c r="Q27" i="9" s="1"/>
  <c r="R27" i="9" s="1"/>
  <c r="S27" i="9" s="1"/>
  <c r="T27" i="9" s="1"/>
  <c r="U27" i="9" s="1"/>
  <c r="V27" i="9" s="1"/>
  <c r="C19" i="9"/>
  <c r="C28" i="9" s="1"/>
  <c r="C29" i="9" s="1"/>
  <c r="D18" i="9"/>
  <c r="E18" i="9" s="1"/>
  <c r="F18" i="9" s="1"/>
  <c r="D17" i="9"/>
  <c r="E17" i="9" s="1"/>
  <c r="B16" i="9"/>
  <c r="B19" i="9" s="1"/>
  <c r="B28" i="9" s="1"/>
  <c r="B29" i="9" s="1"/>
  <c r="B15" i="9"/>
  <c r="C15" i="9" s="1"/>
  <c r="D15" i="9" s="1"/>
  <c r="E15" i="9" s="1"/>
  <c r="F15" i="9" s="1"/>
  <c r="E19" i="9" l="1"/>
  <c r="E28" i="9" s="1"/>
  <c r="F28" i="9" s="1"/>
  <c r="E29" i="9"/>
  <c r="D19" i="9"/>
  <c r="D28" i="9" s="1"/>
  <c r="D29" i="9" s="1"/>
  <c r="B79" i="8"/>
  <c r="B75" i="8"/>
  <c r="B70" i="8"/>
  <c r="B63" i="8"/>
  <c r="A62" i="8"/>
  <c r="A61" i="8"/>
  <c r="AG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B49" i="8"/>
  <c r="AH48" i="8"/>
  <c r="D47" i="8"/>
  <c r="AD46" i="8"/>
  <c r="AE46" i="8" s="1"/>
  <c r="AF46" i="8" s="1"/>
  <c r="C46" i="8"/>
  <c r="AD45" i="8"/>
  <c r="C45" i="8"/>
  <c r="AG41" i="8"/>
  <c r="B41" i="8"/>
  <c r="AH40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H31" i="8"/>
  <c r="D27" i="8"/>
  <c r="E26" i="8"/>
  <c r="D26" i="8"/>
  <c r="C26" i="8"/>
  <c r="C22" i="8"/>
  <c r="D22" i="8" s="1"/>
  <c r="C21" i="8"/>
  <c r="D21" i="8" s="1"/>
  <c r="C20" i="8"/>
  <c r="C19" i="8"/>
  <c r="C36" i="8" s="1"/>
  <c r="F12" i="8"/>
  <c r="F11" i="8"/>
  <c r="F9" i="8"/>
  <c r="F7" i="8"/>
  <c r="D19" i="8" l="1"/>
  <c r="D36" i="8" s="1"/>
  <c r="AD49" i="8"/>
  <c r="F29" i="9"/>
  <c r="G28" i="9"/>
  <c r="E19" i="8"/>
  <c r="D38" i="8"/>
  <c r="E21" i="8"/>
  <c r="C37" i="8"/>
  <c r="D20" i="8"/>
  <c r="D39" i="8"/>
  <c r="E22" i="8"/>
  <c r="C38" i="8"/>
  <c r="C39" i="8"/>
  <c r="B52" i="8"/>
  <c r="D45" i="8"/>
  <c r="C49" i="8"/>
  <c r="E27" i="8"/>
  <c r="AE45" i="8"/>
  <c r="D46" i="8"/>
  <c r="E46" i="8" s="1"/>
  <c r="F46" i="8" s="1"/>
  <c r="G46" i="8" s="1"/>
  <c r="H46" i="8" s="1"/>
  <c r="I46" i="8" s="1"/>
  <c r="J46" i="8" s="1"/>
  <c r="K46" i="8" s="1"/>
  <c r="L46" i="8" s="1"/>
  <c r="E47" i="8"/>
  <c r="F47" i="8" s="1"/>
  <c r="G47" i="8" s="1"/>
  <c r="H47" i="8" s="1"/>
  <c r="I47" i="8" s="1"/>
  <c r="J47" i="8" s="1"/>
  <c r="G29" i="9" l="1"/>
  <c r="H28" i="9"/>
  <c r="AE49" i="8"/>
  <c r="AF45" i="8"/>
  <c r="AF49" i="8" s="1"/>
  <c r="AH46" i="8"/>
  <c r="F26" i="8"/>
  <c r="F27" i="8"/>
  <c r="D49" i="8"/>
  <c r="E45" i="8"/>
  <c r="B80" i="8"/>
  <c r="B76" i="8"/>
  <c r="B54" i="8"/>
  <c r="F22" i="8"/>
  <c r="E39" i="8"/>
  <c r="D37" i="8"/>
  <c r="D41" i="8" s="1"/>
  <c r="D52" i="8" s="1"/>
  <c r="E20" i="8"/>
  <c r="AH47" i="8"/>
  <c r="F21" i="8"/>
  <c r="E38" i="8"/>
  <c r="E36" i="8"/>
  <c r="F19" i="8"/>
  <c r="C41" i="8"/>
  <c r="C52" i="8" s="1"/>
  <c r="H29" i="9" l="1"/>
  <c r="I28" i="9"/>
  <c r="C79" i="8"/>
  <c r="C75" i="8"/>
  <c r="C80" i="8"/>
  <c r="C76" i="8"/>
  <c r="C54" i="8"/>
  <c r="C70" i="8" s="1"/>
  <c r="C71" i="8" s="1"/>
  <c r="C72" i="8" s="1"/>
  <c r="F39" i="8"/>
  <c r="G22" i="8"/>
  <c r="F45" i="8"/>
  <c r="E49" i="8"/>
  <c r="G27" i="8"/>
  <c r="G26" i="8"/>
  <c r="F38" i="8"/>
  <c r="G21" i="8"/>
  <c r="H21" i="8" s="1"/>
  <c r="D80" i="8"/>
  <c r="D76" i="8"/>
  <c r="D79" i="8"/>
  <c r="D75" i="8"/>
  <c r="D54" i="8"/>
  <c r="D70" i="8" s="1"/>
  <c r="F36" i="8"/>
  <c r="G19" i="8"/>
  <c r="E37" i="8"/>
  <c r="E41" i="8" s="1"/>
  <c r="E52" i="8" s="1"/>
  <c r="F20" i="8"/>
  <c r="I29" i="9" l="1"/>
  <c r="J28" i="9"/>
  <c r="E79" i="8"/>
  <c r="E75" i="8"/>
  <c r="E80" i="8"/>
  <c r="E76" i="8"/>
  <c r="E54" i="8"/>
  <c r="E70" i="8" s="1"/>
  <c r="F49" i="8"/>
  <c r="G45" i="8"/>
  <c r="H22" i="8"/>
  <c r="G39" i="8"/>
  <c r="H19" i="8"/>
  <c r="G36" i="8"/>
  <c r="D71" i="8"/>
  <c r="D72" i="8" s="1"/>
  <c r="H26" i="8"/>
  <c r="H27" i="8"/>
  <c r="F37" i="8"/>
  <c r="G20" i="8"/>
  <c r="F41" i="8"/>
  <c r="F52" i="8" s="1"/>
  <c r="H38" i="8"/>
  <c r="I21" i="8"/>
  <c r="J29" i="9" l="1"/>
  <c r="K28" i="9"/>
  <c r="G37" i="8"/>
  <c r="H20" i="8"/>
  <c r="I27" i="8"/>
  <c r="I26" i="8"/>
  <c r="G41" i="8"/>
  <c r="H45" i="8"/>
  <c r="G49" i="8"/>
  <c r="I38" i="8"/>
  <c r="J21" i="8"/>
  <c r="F80" i="8"/>
  <c r="F76" i="8"/>
  <c r="F79" i="8"/>
  <c r="F75" i="8"/>
  <c r="F54" i="8"/>
  <c r="F70" i="8" s="1"/>
  <c r="H36" i="8"/>
  <c r="I19" i="8"/>
  <c r="H39" i="8"/>
  <c r="I22" i="8"/>
  <c r="E71" i="8"/>
  <c r="E72" i="8" s="1"/>
  <c r="K29" i="9" l="1"/>
  <c r="L28" i="9"/>
  <c r="F71" i="8"/>
  <c r="F72" i="8" s="1"/>
  <c r="H49" i="8"/>
  <c r="I45" i="8"/>
  <c r="J22" i="8"/>
  <c r="I39" i="8"/>
  <c r="J19" i="8"/>
  <c r="I36" i="8"/>
  <c r="J38" i="8"/>
  <c r="K21" i="8"/>
  <c r="G52" i="8"/>
  <c r="J26" i="8"/>
  <c r="J27" i="8"/>
  <c r="H37" i="8"/>
  <c r="H41" i="8" s="1"/>
  <c r="H52" i="8" s="1"/>
  <c r="I20" i="8"/>
  <c r="L29" i="9" l="1"/>
  <c r="M28" i="9"/>
  <c r="H80" i="8"/>
  <c r="H76" i="8"/>
  <c r="H79" i="8"/>
  <c r="H75" i="8"/>
  <c r="H54" i="8"/>
  <c r="H70" i="8" s="1"/>
  <c r="G79" i="8"/>
  <c r="G75" i="8"/>
  <c r="G80" i="8"/>
  <c r="G76" i="8"/>
  <c r="G54" i="8"/>
  <c r="G70" i="8" s="1"/>
  <c r="G71" i="8" s="1"/>
  <c r="G72" i="8" s="1"/>
  <c r="J36" i="8"/>
  <c r="K19" i="8"/>
  <c r="J39" i="8"/>
  <c r="K22" i="8"/>
  <c r="I37" i="8"/>
  <c r="J20" i="8"/>
  <c r="K27" i="8"/>
  <c r="K26" i="8"/>
  <c r="K38" i="8"/>
  <c r="L21" i="8"/>
  <c r="I41" i="8"/>
  <c r="J45" i="8"/>
  <c r="I49" i="8"/>
  <c r="M29" i="9" l="1"/>
  <c r="N28" i="9"/>
  <c r="I52" i="8"/>
  <c r="L26" i="8"/>
  <c r="L27" i="8"/>
  <c r="J49" i="8"/>
  <c r="K45" i="8"/>
  <c r="L38" i="8"/>
  <c r="M21" i="8"/>
  <c r="J41" i="8"/>
  <c r="J52" i="8" s="1"/>
  <c r="J37" i="8"/>
  <c r="K20" i="8"/>
  <c r="L22" i="8"/>
  <c r="K39" i="8"/>
  <c r="L19" i="8"/>
  <c r="K36" i="8"/>
  <c r="H71" i="8"/>
  <c r="H72" i="8" s="1"/>
  <c r="N29" i="9" l="1"/>
  <c r="O28" i="9"/>
  <c r="L36" i="8"/>
  <c r="M19" i="8"/>
  <c r="L39" i="8"/>
  <c r="M22" i="8"/>
  <c r="M38" i="8"/>
  <c r="N21" i="8"/>
  <c r="L45" i="8"/>
  <c r="K49" i="8"/>
  <c r="M27" i="8"/>
  <c r="M26" i="8"/>
  <c r="K37" i="8"/>
  <c r="K41" i="8" s="1"/>
  <c r="L20" i="8"/>
  <c r="J80" i="8"/>
  <c r="J76" i="8"/>
  <c r="J79" i="8"/>
  <c r="J75" i="8"/>
  <c r="J54" i="8"/>
  <c r="J70" i="8" s="1"/>
  <c r="I79" i="8"/>
  <c r="I75" i="8"/>
  <c r="I80" i="8"/>
  <c r="I76" i="8"/>
  <c r="I54" i="8"/>
  <c r="I70" i="8" s="1"/>
  <c r="I71" i="8" s="1"/>
  <c r="I72" i="8" s="1"/>
  <c r="J71" i="8" l="1"/>
  <c r="J72" i="8" s="1"/>
  <c r="K52" i="8"/>
  <c r="K79" i="8" s="1"/>
  <c r="O29" i="9"/>
  <c r="P28" i="9"/>
  <c r="K75" i="8"/>
  <c r="L37" i="8"/>
  <c r="M20" i="8"/>
  <c r="N26" i="8"/>
  <c r="AG28" i="8"/>
  <c r="N27" i="8"/>
  <c r="N38" i="8"/>
  <c r="O21" i="8"/>
  <c r="N22" i="8"/>
  <c r="M39" i="8"/>
  <c r="N19" i="8"/>
  <c r="M36" i="8"/>
  <c r="L49" i="8"/>
  <c r="AH45" i="8"/>
  <c r="AH49" i="8" s="1"/>
  <c r="L41" i="8"/>
  <c r="L52" i="8" s="1"/>
  <c r="K76" i="8" l="1"/>
  <c r="K80" i="8"/>
  <c r="K54" i="8"/>
  <c r="K70" i="8" s="1"/>
  <c r="K71" i="8" s="1"/>
  <c r="K72" i="8" s="1"/>
  <c r="P29" i="9"/>
  <c r="Q28" i="9"/>
  <c r="O27" i="8"/>
  <c r="O26" i="8"/>
  <c r="M37" i="8"/>
  <c r="M41" i="8" s="1"/>
  <c r="M52" i="8" s="1"/>
  <c r="N20" i="8"/>
  <c r="O38" i="8"/>
  <c r="P21" i="8"/>
  <c r="L80" i="8"/>
  <c r="L76" i="8"/>
  <c r="L79" i="8"/>
  <c r="L75" i="8"/>
  <c r="L54" i="8"/>
  <c r="L70" i="8" s="1"/>
  <c r="L71" i="8" s="1"/>
  <c r="L72" i="8" s="1"/>
  <c r="N36" i="8"/>
  <c r="O19" i="8"/>
  <c r="N39" i="8"/>
  <c r="O22" i="8"/>
  <c r="AH28" i="8"/>
  <c r="Q29" i="9" l="1"/>
  <c r="R28" i="9"/>
  <c r="M79" i="8"/>
  <c r="M75" i="8"/>
  <c r="M80" i="8"/>
  <c r="M76" i="8"/>
  <c r="M54" i="8"/>
  <c r="M70" i="8" s="1"/>
  <c r="M71" i="8" s="1"/>
  <c r="M72" i="8" s="1"/>
  <c r="P38" i="8"/>
  <c r="Q21" i="8"/>
  <c r="N37" i="8"/>
  <c r="N41" i="8" s="1"/>
  <c r="N52" i="8" s="1"/>
  <c r="O20" i="8"/>
  <c r="P22" i="8"/>
  <c r="O39" i="8"/>
  <c r="P19" i="8"/>
  <c r="O36" i="8"/>
  <c r="P26" i="8"/>
  <c r="P27" i="8"/>
  <c r="R29" i="9" l="1"/>
  <c r="S28" i="9"/>
  <c r="O41" i="8"/>
  <c r="O52" i="8" s="1"/>
  <c r="O37" i="8"/>
  <c r="P20" i="8"/>
  <c r="Q38" i="8"/>
  <c r="R21" i="8"/>
  <c r="Q27" i="8"/>
  <c r="Q26" i="8"/>
  <c r="P36" i="8"/>
  <c r="Q19" i="8"/>
  <c r="P39" i="8"/>
  <c r="Q22" i="8"/>
  <c r="N80" i="8"/>
  <c r="N76" i="8"/>
  <c r="N79" i="8"/>
  <c r="N75" i="8"/>
  <c r="N54" i="8"/>
  <c r="N70" i="8" s="1"/>
  <c r="N71" i="8" s="1"/>
  <c r="N72" i="8" s="1"/>
  <c r="S29" i="9" l="1"/>
  <c r="T28" i="9"/>
  <c r="R22" i="8"/>
  <c r="Q39" i="8"/>
  <c r="R19" i="8"/>
  <c r="Q36" i="8"/>
  <c r="R26" i="8"/>
  <c r="R27" i="8"/>
  <c r="R38" i="8"/>
  <c r="S21" i="8"/>
  <c r="P37" i="8"/>
  <c r="P41" i="8" s="1"/>
  <c r="P52" i="8" s="1"/>
  <c r="Q20" i="8"/>
  <c r="O79" i="8"/>
  <c r="O75" i="8"/>
  <c r="O80" i="8"/>
  <c r="O76" i="8"/>
  <c r="O54" i="8"/>
  <c r="O70" i="8" s="1"/>
  <c r="O71" i="8" s="1"/>
  <c r="O72" i="8" s="1"/>
  <c r="T29" i="9" l="1"/>
  <c r="U28" i="9"/>
  <c r="P80" i="8"/>
  <c r="P76" i="8"/>
  <c r="P79" i="8"/>
  <c r="P75" i="8"/>
  <c r="P54" i="8"/>
  <c r="P70" i="8" s="1"/>
  <c r="P71" i="8" s="1"/>
  <c r="P72" i="8" s="1"/>
  <c r="Q37" i="8"/>
  <c r="R20" i="8"/>
  <c r="S38" i="8"/>
  <c r="T21" i="8"/>
  <c r="S27" i="8"/>
  <c r="S26" i="8"/>
  <c r="R36" i="8"/>
  <c r="S19" i="8"/>
  <c r="R39" i="8"/>
  <c r="S22" i="8"/>
  <c r="Q41" i="8"/>
  <c r="Q52" i="8" s="1"/>
  <c r="U29" i="9" l="1"/>
  <c r="V28" i="9"/>
  <c r="Q79" i="8"/>
  <c r="Q75" i="8"/>
  <c r="Q80" i="8"/>
  <c r="Q76" i="8"/>
  <c r="Q54" i="8"/>
  <c r="Q70" i="8" s="1"/>
  <c r="Q71" i="8" s="1"/>
  <c r="Q72" i="8" s="1"/>
  <c r="T22" i="8"/>
  <c r="S39" i="8"/>
  <c r="T19" i="8"/>
  <c r="S36" i="8"/>
  <c r="T26" i="8"/>
  <c r="T27" i="8"/>
  <c r="T38" i="8"/>
  <c r="U21" i="8"/>
  <c r="R37" i="8"/>
  <c r="R41" i="8" s="1"/>
  <c r="R52" i="8" s="1"/>
  <c r="S20" i="8"/>
  <c r="V29" i="9" l="1"/>
  <c r="W29" i="9" s="1"/>
  <c r="F17" i="9"/>
  <c r="F19" i="9" s="1"/>
  <c r="R80" i="8"/>
  <c r="R76" i="8"/>
  <c r="R79" i="8"/>
  <c r="R75" i="8"/>
  <c r="R54" i="8"/>
  <c r="R70" i="8" s="1"/>
  <c r="R71" i="8" s="1"/>
  <c r="R72" i="8" s="1"/>
  <c r="U38" i="8"/>
  <c r="V21" i="8"/>
  <c r="T36" i="8"/>
  <c r="U19" i="8"/>
  <c r="T39" i="8"/>
  <c r="U22" i="8"/>
  <c r="S37" i="8"/>
  <c r="T20" i="8"/>
  <c r="U27" i="8"/>
  <c r="U26" i="8"/>
  <c r="S41" i="8"/>
  <c r="S52" i="8" s="1"/>
  <c r="S79" i="8" l="1"/>
  <c r="S75" i="8"/>
  <c r="S80" i="8"/>
  <c r="S76" i="8"/>
  <c r="S54" i="8"/>
  <c r="S70" i="8" s="1"/>
  <c r="S71" i="8" s="1"/>
  <c r="S72" i="8" s="1"/>
  <c r="V26" i="8"/>
  <c r="V27" i="8"/>
  <c r="T37" i="8"/>
  <c r="T41" i="8" s="1"/>
  <c r="T52" i="8" s="1"/>
  <c r="U20" i="8"/>
  <c r="V22" i="8"/>
  <c r="U39" i="8"/>
  <c r="V19" i="8"/>
  <c r="U36" i="8"/>
  <c r="V38" i="8"/>
  <c r="W21" i="8"/>
  <c r="T80" i="8" l="1"/>
  <c r="T76" i="8"/>
  <c r="T79" i="8"/>
  <c r="T75" i="8"/>
  <c r="T54" i="8"/>
  <c r="T70" i="8" s="1"/>
  <c r="T71" i="8" s="1"/>
  <c r="T72" i="8" s="1"/>
  <c r="V36" i="8"/>
  <c r="W19" i="8"/>
  <c r="V39" i="8"/>
  <c r="W22" i="8"/>
  <c r="W38" i="8"/>
  <c r="X21" i="8"/>
  <c r="U37" i="8"/>
  <c r="U41" i="8" s="1"/>
  <c r="U52" i="8" s="1"/>
  <c r="V20" i="8"/>
  <c r="W27" i="8"/>
  <c r="W26" i="8"/>
  <c r="U79" i="8" l="1"/>
  <c r="U75" i="8"/>
  <c r="U80" i="8"/>
  <c r="U76" i="8"/>
  <c r="U54" i="8"/>
  <c r="U70" i="8" s="1"/>
  <c r="U71" i="8" s="1"/>
  <c r="U72" i="8" s="1"/>
  <c r="X26" i="8"/>
  <c r="X27" i="8"/>
  <c r="V37" i="8"/>
  <c r="W20" i="8"/>
  <c r="V41" i="8"/>
  <c r="V52" i="8" s="1"/>
  <c r="X38" i="8"/>
  <c r="Y21" i="8"/>
  <c r="X22" i="8"/>
  <c r="W39" i="8"/>
  <c r="X19" i="8"/>
  <c r="W36" i="8"/>
  <c r="V80" i="8" l="1"/>
  <c r="V76" i="8"/>
  <c r="V79" i="8"/>
  <c r="V75" i="8"/>
  <c r="V54" i="8"/>
  <c r="V70" i="8" s="1"/>
  <c r="V71" i="8" s="1"/>
  <c r="V72" i="8" s="1"/>
  <c r="X36" i="8"/>
  <c r="Y19" i="8"/>
  <c r="X39" i="8"/>
  <c r="Y22" i="8"/>
  <c r="W37" i="8"/>
  <c r="W41" i="8" s="1"/>
  <c r="W52" i="8" s="1"/>
  <c r="X20" i="8"/>
  <c r="Y27" i="8"/>
  <c r="Y26" i="8"/>
  <c r="Y38" i="8"/>
  <c r="Z21" i="8"/>
  <c r="W79" i="8" l="1"/>
  <c r="W75" i="8"/>
  <c r="W80" i="8"/>
  <c r="W76" i="8"/>
  <c r="W54" i="8"/>
  <c r="W70" i="8" s="1"/>
  <c r="W71" i="8" s="1"/>
  <c r="W72" i="8" s="1"/>
  <c r="Z26" i="8"/>
  <c r="Z27" i="8"/>
  <c r="X37" i="8"/>
  <c r="Y20" i="8"/>
  <c r="Z22" i="8"/>
  <c r="Y39" i="8"/>
  <c r="Z19" i="8"/>
  <c r="Y36" i="8"/>
  <c r="Z38" i="8"/>
  <c r="AA21" i="8"/>
  <c r="X41" i="8"/>
  <c r="X52" i="8" s="1"/>
  <c r="X80" i="8" l="1"/>
  <c r="X76" i="8"/>
  <c r="X79" i="8"/>
  <c r="X75" i="8"/>
  <c r="X54" i="8"/>
  <c r="X70" i="8" s="1"/>
  <c r="X71" i="8" s="1"/>
  <c r="X72" i="8" s="1"/>
  <c r="Z36" i="8"/>
  <c r="AA19" i="8"/>
  <c r="Z39" i="8"/>
  <c r="AA22" i="8"/>
  <c r="AA38" i="8"/>
  <c r="AB21" i="8"/>
  <c r="Y37" i="8"/>
  <c r="Y41" i="8" s="1"/>
  <c r="Y52" i="8" s="1"/>
  <c r="Z20" i="8"/>
  <c r="AA27" i="8"/>
  <c r="AA26" i="8"/>
  <c r="Y79" i="8" l="1"/>
  <c r="Y75" i="8"/>
  <c r="Y80" i="8"/>
  <c r="Y76" i="8"/>
  <c r="Y54" i="8"/>
  <c r="Y70" i="8" s="1"/>
  <c r="Y71" i="8" s="1"/>
  <c r="Y72" i="8" s="1"/>
  <c r="AB22" i="8"/>
  <c r="AA39" i="8"/>
  <c r="AB19" i="8"/>
  <c r="AA36" i="8"/>
  <c r="AB26" i="8"/>
  <c r="AB27" i="8"/>
  <c r="Z37" i="8"/>
  <c r="AA20" i="8"/>
  <c r="Z41" i="8"/>
  <c r="Z52" i="8" s="1"/>
  <c r="AB38" i="8"/>
  <c r="AC21" i="8"/>
  <c r="AC38" i="8" l="1"/>
  <c r="AD21" i="8"/>
  <c r="Z80" i="8"/>
  <c r="Z76" i="8"/>
  <c r="Z79" i="8"/>
  <c r="Z75" i="8"/>
  <c r="Z54" i="8"/>
  <c r="Z70" i="8" s="1"/>
  <c r="Z71" i="8" s="1"/>
  <c r="Z72" i="8" s="1"/>
  <c r="AA37" i="8"/>
  <c r="AA41" i="8" s="1"/>
  <c r="AA52" i="8" s="1"/>
  <c r="AB20" i="8"/>
  <c r="AC27" i="8"/>
  <c r="AC26" i="8"/>
  <c r="AB36" i="8"/>
  <c r="AC19" i="8"/>
  <c r="AB39" i="8"/>
  <c r="AC22" i="8"/>
  <c r="AA79" i="8" l="1"/>
  <c r="AA75" i="8"/>
  <c r="AA80" i="8"/>
  <c r="AA76" i="8"/>
  <c r="AA54" i="8"/>
  <c r="AA70" i="8" s="1"/>
  <c r="AA71" i="8" s="1"/>
  <c r="AA72" i="8" s="1"/>
  <c r="AD22" i="8"/>
  <c r="AC39" i="8"/>
  <c r="AD19" i="8"/>
  <c r="AC36" i="8"/>
  <c r="AD26" i="8"/>
  <c r="AD27" i="8"/>
  <c r="AB37" i="8"/>
  <c r="AB41" i="8" s="1"/>
  <c r="AB52" i="8" s="1"/>
  <c r="AC20" i="8"/>
  <c r="AD38" i="8"/>
  <c r="AE21" i="8"/>
  <c r="AB80" i="8" l="1"/>
  <c r="AB76" i="8"/>
  <c r="AB79" i="8"/>
  <c r="AB75" i="8"/>
  <c r="AB54" i="8"/>
  <c r="AB70" i="8" s="1"/>
  <c r="AB71" i="8" s="1"/>
  <c r="AB72" i="8" s="1"/>
  <c r="AD36" i="8"/>
  <c r="AE19" i="8"/>
  <c r="AD39" i="8"/>
  <c r="AE22" i="8"/>
  <c r="AE38" i="8"/>
  <c r="AF21" i="8"/>
  <c r="AF38" i="8" s="1"/>
  <c r="AH38" i="8" s="1"/>
  <c r="AC37" i="8"/>
  <c r="AD20" i="8"/>
  <c r="AE27" i="8"/>
  <c r="AE26" i="8"/>
  <c r="AC41" i="8"/>
  <c r="AC52" i="8" s="1"/>
  <c r="AC79" i="8" l="1"/>
  <c r="AC75" i="8"/>
  <c r="AC80" i="8"/>
  <c r="AC76" i="8"/>
  <c r="AC54" i="8"/>
  <c r="AC70" i="8" s="1"/>
  <c r="AC71" i="8" s="1"/>
  <c r="AC72" i="8" s="1"/>
  <c r="C63" i="8" s="1"/>
  <c r="AF26" i="8"/>
  <c r="AF27" i="8"/>
  <c r="AD37" i="8"/>
  <c r="AD41" i="8" s="1"/>
  <c r="AD52" i="8" s="1"/>
  <c r="AE20" i="8"/>
  <c r="AF22" i="8"/>
  <c r="AF39" i="8" s="1"/>
  <c r="AH39" i="8" s="1"/>
  <c r="AE39" i="8"/>
  <c r="AF19" i="8"/>
  <c r="AF36" i="8" s="1"/>
  <c r="AE36" i="8"/>
  <c r="AD80" i="8" l="1"/>
  <c r="AD76" i="8"/>
  <c r="AD79" i="8"/>
  <c r="AD75" i="8"/>
  <c r="AD54" i="8"/>
  <c r="AD70" i="8" s="1"/>
  <c r="AD71" i="8" s="1"/>
  <c r="AD72" i="8" s="1"/>
  <c r="AH36" i="8"/>
  <c r="AE37" i="8"/>
  <c r="AE41" i="8" s="1"/>
  <c r="AE52" i="8" s="1"/>
  <c r="AF20" i="8"/>
  <c r="AF37" i="8" s="1"/>
  <c r="AG27" i="8"/>
  <c r="AG29" i="8"/>
  <c r="AE79" i="8" l="1"/>
  <c r="AE75" i="8"/>
  <c r="AE80" i="8"/>
  <c r="AE76" i="8"/>
  <c r="AE54" i="8"/>
  <c r="AE70" i="8" s="1"/>
  <c r="AE71" i="8" s="1"/>
  <c r="AE72" i="8" s="1"/>
  <c r="AH29" i="8"/>
  <c r="AG30" i="8"/>
  <c r="AH30" i="8" s="1"/>
  <c r="AH37" i="8"/>
  <c r="AH41" i="8" s="1"/>
  <c r="AF41" i="8"/>
  <c r="AF52" i="8" s="1"/>
  <c r="AH32" i="8" l="1"/>
  <c r="AH52" i="8" s="1"/>
  <c r="AF80" i="8"/>
  <c r="C62" i="8" s="1"/>
  <c r="AF79" i="8"/>
  <c r="B62" i="8" s="1"/>
  <c r="C60" i="8"/>
  <c r="B60" i="8"/>
  <c r="AF54" i="8"/>
  <c r="AF70" i="8" s="1"/>
  <c r="AF71" i="8" s="1"/>
  <c r="AF72" i="8" s="1"/>
  <c r="AG32" i="8"/>
  <c r="AG52" i="8" s="1"/>
  <c r="AG54" i="8" s="1"/>
  <c r="AF75" i="8" l="1"/>
  <c r="AF76" i="8"/>
  <c r="C59" i="8" l="1"/>
  <c r="C61" i="8"/>
  <c r="B61" i="8"/>
  <c r="B59" i="8"/>
  <c r="C25" i="4" l="1"/>
  <c r="C27" i="4" s="1"/>
  <c r="E17" i="4" l="1"/>
  <c r="E19" i="4" s="1"/>
  <c r="E20" i="4" s="1"/>
  <c r="F17" i="4"/>
  <c r="F19" i="4" s="1"/>
  <c r="F20" i="4" s="1"/>
  <c r="G17" i="4"/>
  <c r="G19" i="4" s="1"/>
  <c r="G20" i="4" s="1"/>
  <c r="H17" i="4"/>
  <c r="H19" i="4" s="1"/>
  <c r="H20" i="4" s="1"/>
  <c r="I17" i="4"/>
  <c r="I19" i="4" s="1"/>
  <c r="I20" i="4" s="1"/>
  <c r="J17" i="4"/>
  <c r="J19" i="4" s="1"/>
  <c r="J20" i="4" s="1"/>
  <c r="K17" i="4"/>
  <c r="K19" i="4" s="1"/>
  <c r="K20" i="4" s="1"/>
  <c r="L17" i="4"/>
  <c r="L19" i="4" s="1"/>
  <c r="L20" i="4" s="1"/>
  <c r="M17" i="4"/>
  <c r="M19" i="4" s="1"/>
  <c r="M20" i="4" s="1"/>
  <c r="N17" i="4"/>
  <c r="N19" i="4" s="1"/>
  <c r="N20" i="4" s="1"/>
  <c r="O17" i="4"/>
  <c r="O19" i="4" s="1"/>
  <c r="O20" i="4" s="1"/>
  <c r="P17" i="4"/>
  <c r="P19" i="4" s="1"/>
  <c r="P20" i="4" s="1"/>
  <c r="Q17" i="4"/>
  <c r="Q19" i="4" s="1"/>
  <c r="Q20" i="4" s="1"/>
  <c r="C17" i="4"/>
  <c r="D17" i="4"/>
  <c r="D19" i="4" s="1"/>
  <c r="D20" i="4" s="1"/>
  <c r="C28" i="4"/>
  <c r="D25" i="4" l="1"/>
  <c r="D27" i="4" s="1"/>
  <c r="C19" i="4"/>
  <c r="N25" i="4"/>
  <c r="N27" i="4" s="1"/>
  <c r="N28" i="4" s="1"/>
  <c r="J25" i="4"/>
  <c r="J27" i="4" s="1"/>
  <c r="J28" i="4" s="1"/>
  <c r="F25" i="4"/>
  <c r="F27" i="4" s="1"/>
  <c r="F28" i="4" s="1"/>
  <c r="O25" i="4"/>
  <c r="O27" i="4" s="1"/>
  <c r="O28" i="4" s="1"/>
  <c r="K25" i="4"/>
  <c r="K27" i="4" s="1"/>
  <c r="K28" i="4" s="1"/>
  <c r="G25" i="4"/>
  <c r="G27" i="4" s="1"/>
  <c r="G28" i="4" s="1"/>
  <c r="Q25" i="4"/>
  <c r="Q27" i="4" s="1"/>
  <c r="Q28" i="4" s="1"/>
  <c r="M25" i="4"/>
  <c r="M27" i="4" s="1"/>
  <c r="M28" i="4" s="1"/>
  <c r="I25" i="4"/>
  <c r="I27" i="4" s="1"/>
  <c r="I28" i="4" s="1"/>
  <c r="E25" i="4"/>
  <c r="E27" i="4" s="1"/>
  <c r="E28" i="4" s="1"/>
  <c r="P25" i="4"/>
  <c r="P27" i="4" s="1"/>
  <c r="L25" i="4"/>
  <c r="L27" i="4" s="1"/>
  <c r="L30" i="4" s="1"/>
  <c r="H25" i="4"/>
  <c r="H27" i="4" s="1"/>
  <c r="D28" i="4" l="1"/>
  <c r="D30" i="4"/>
  <c r="H30" i="4"/>
  <c r="H28" i="4"/>
  <c r="H31" i="4" s="1"/>
  <c r="P28" i="4"/>
  <c r="P31" i="4" s="1"/>
  <c r="L28" i="4"/>
  <c r="L31" i="4" s="1"/>
  <c r="C20" i="4"/>
  <c r="S20" i="4" s="1"/>
  <c r="P30" i="4"/>
  <c r="I31" i="4"/>
  <c r="I30" i="4"/>
  <c r="N31" i="4"/>
  <c r="N30" i="4"/>
  <c r="F31" i="4"/>
  <c r="F30" i="4"/>
  <c r="J30" i="4"/>
  <c r="J31" i="4"/>
  <c r="Q30" i="4"/>
  <c r="Q31" i="4"/>
  <c r="E31" i="4"/>
  <c r="E30" i="4"/>
  <c r="G30" i="4"/>
  <c r="G31" i="4"/>
  <c r="K31" i="4"/>
  <c r="K30" i="4"/>
  <c r="M30" i="4"/>
  <c r="M31" i="4"/>
  <c r="O31" i="4"/>
  <c r="O30" i="4"/>
  <c r="C30" i="4"/>
  <c r="D31" i="4" l="1"/>
  <c r="T28" i="4"/>
  <c r="S28" i="4"/>
  <c r="S29" i="4" s="1"/>
  <c r="C31" i="4"/>
  <c r="S31" i="4" l="1"/>
  <c r="T29" i="4"/>
</calcChain>
</file>

<file path=xl/sharedStrings.xml><?xml version="1.0" encoding="utf-8"?>
<sst xmlns="http://schemas.openxmlformats.org/spreadsheetml/2006/main" count="791" uniqueCount="398">
  <si>
    <t>GR01-TRUK-BROM-0621</t>
  </si>
  <si>
    <t>2009;INTERNATIONAL:SWEEPSTER BROOM TRUCK;APM;DIESE</t>
  </si>
  <si>
    <t>TRUK</t>
  </si>
  <si>
    <t>GR01-TRUK-BROM-0623</t>
  </si>
  <si>
    <t>2006;OSHKOSH;M-B;BROOM TRUCK;APM;DIESEL</t>
  </si>
  <si>
    <t>GR01-TRUK-BROM-0624</t>
  </si>
  <si>
    <t>1991;OSHKOSH;BROOM TRUCK;APM;DIESEL</t>
  </si>
  <si>
    <t>GR01-TRUK-BROM-0626</t>
  </si>
  <si>
    <t>2002;OSHKOSH;BROOM TRUCK;APM; DIESEL</t>
  </si>
  <si>
    <t>GR01-TRUK-BROM-0627</t>
  </si>
  <si>
    <t>2004;OSHKOSH;M-B;BROOM TRUCK;APM;DIESEL</t>
  </si>
  <si>
    <t>GR01-TRUK-BROM-0628</t>
  </si>
  <si>
    <t>2005;OSHKOSH;M-B;BROOM TRUCK;APM;DIESEL</t>
  </si>
  <si>
    <t>GR01-TRUK-BROM-0631</t>
  </si>
  <si>
    <t>GR01-TRUK-BROM-0632</t>
  </si>
  <si>
    <t>2007;OSHKOSH;M-B;BROOM TRUCK;APM;DIESEL</t>
  </si>
  <si>
    <t>GR01-TRUK-BROM-0639</t>
  </si>
  <si>
    <t>2010;WAUSAU;BROOM TRUCK;APM;DIESEL</t>
  </si>
  <si>
    <t>GR01-TRUK-DUMP-0604</t>
  </si>
  <si>
    <t>2003;STERLING;LT 9500;TANDEM;DUMP SPREADER;DIESEL</t>
  </si>
  <si>
    <t>GR01-TRUK-DUMP-0605</t>
  </si>
  <si>
    <t>2003;STERLING;LT 9500;TANDEM;DUMP SPREADER;APM;DIE</t>
  </si>
  <si>
    <t>GR01-TRUK-DUMP-0607</t>
  </si>
  <si>
    <t>2005;VOLVO;TANDEM;RADIAL DUMP SPREADER;APM</t>
  </si>
  <si>
    <t>GR01-TRUK-DUMP-0608</t>
  </si>
  <si>
    <t>2011;INTERNATIONAL;TANDEM;DUMP4X2;SALT;APM;DIESEL</t>
  </si>
  <si>
    <t>GR01-TRUK-DUMP-0609</t>
  </si>
  <si>
    <t>2000;VOLVO;TANDEM;DUMP;APM;DIESEL</t>
  </si>
  <si>
    <t>GR01-TRUK-DUMP-0613</t>
  </si>
  <si>
    <t>GR01-TRUK-DUMP-0616</t>
  </si>
  <si>
    <t>2008;INTERNATIONAL;TANDEM;RADIAL DUMP;DIESEL</t>
  </si>
  <si>
    <t>Broom</t>
  </si>
  <si>
    <t>Replacement Cost Avoided</t>
  </si>
  <si>
    <t>Annual O&amp;M Avoided</t>
  </si>
  <si>
    <t>Assumptions:</t>
  </si>
  <si>
    <t>Personnel Cost Differential (1)</t>
  </si>
  <si>
    <t>New Equipment O&amp;M Costs (3)</t>
  </si>
  <si>
    <t>ANNUAL AUTHORITY INCREASED/(DECREASED) COSTS</t>
  </si>
  <si>
    <t>NET NEW EQUIPMENT COSTS</t>
  </si>
  <si>
    <t>NET MAINTENANCE SAVINGS</t>
  </si>
  <si>
    <t>NET NEW EQUIPMENT COSTS (PV)</t>
  </si>
  <si>
    <t>NET MAINTENANCE SAVINGS (PV)</t>
  </si>
  <si>
    <t>Sale value of Existing Equipment</t>
  </si>
  <si>
    <t>Replacement Cost of Existing Equipment</t>
  </si>
  <si>
    <t>Detail regarding existing equipment and O&amp;M costs:</t>
  </si>
  <si>
    <t>Termination value of Replacing Existing Equipment</t>
  </si>
  <si>
    <t>&lt;&lt;Enter Workpaper Name&gt;&gt;</t>
  </si>
  <si>
    <t xml:space="preserve">New Equipment Acquisition Costs </t>
  </si>
  <si>
    <t>Note:  Enter all values as positive</t>
  </si>
  <si>
    <t>ANNUAL AUTHORITY INCREASED/(DECREASED) COSTS (PV)</t>
  </si>
  <si>
    <t>PV Rate =   (not used in this model)</t>
  </si>
  <si>
    <t>Inflation = (not used in this model)</t>
  </si>
  <si>
    <t>Discount Rate</t>
  </si>
  <si>
    <t>Total</t>
  </si>
  <si>
    <t>&lt;&lt;Enter&gt;&gt;</t>
  </si>
  <si>
    <t>IRR  (this is the variable in the goal seek) =</t>
  </si>
  <si>
    <t>&lt;&lt;enter description of equipment purchase avoided&gt;&gt;</t>
  </si>
  <si>
    <t>O&amp;M Cost changes</t>
  </si>
  <si>
    <t>&lt;&lt;enter description Maintenance Costs Avoided&gt;&gt;&gt;</t>
  </si>
  <si>
    <t>Savings Detailed below (if needed)</t>
  </si>
  <si>
    <t>&lt;&lt;enter description&gt;&gt;  of O&amp;M Savings  (2)</t>
  </si>
  <si>
    <t xml:space="preserve">  &lt; this is a named cell always insert new columns to the left</t>
  </si>
  <si>
    <t>Reinvestment Rate</t>
  </si>
  <si>
    <t xml:space="preserve">Hangar Development </t>
  </si>
  <si>
    <t>Analyst</t>
  </si>
  <si>
    <t>Date</t>
  </si>
  <si>
    <t>Project Mgr.</t>
  </si>
  <si>
    <t>Rob</t>
  </si>
  <si>
    <t>Mark W</t>
  </si>
  <si>
    <t>Assumptions</t>
  </si>
  <si>
    <t>Source</t>
  </si>
  <si>
    <t>Notes</t>
  </si>
  <si>
    <t>Purpose</t>
  </si>
  <si>
    <t>CPI/FMV Escalation Rate</t>
  </si>
  <si>
    <t>Escalation Rate in Agreement</t>
  </si>
  <si>
    <t>Start Year</t>
  </si>
  <si>
    <t>An estimated $250k is credited to tenant in year 5 for the refurbishment.</t>
  </si>
  <si>
    <t>Land in SqFt</t>
  </si>
  <si>
    <t>Ramp area in SqFt</t>
  </si>
  <si>
    <t>Office in SqFt</t>
  </si>
  <si>
    <t>Hangar in SqFt</t>
  </si>
  <si>
    <t>Land rate per SqFt</t>
  </si>
  <si>
    <t>Ramp rate per SqFt</t>
  </si>
  <si>
    <t>Office rental rate per SqFt</t>
  </si>
  <si>
    <t>Hangar rental rate per SqFt</t>
  </si>
  <si>
    <t>Forecast</t>
  </si>
  <si>
    <t>Initial (FY12)</t>
  </si>
  <si>
    <t>Residual Value</t>
  </si>
  <si>
    <t>Assets &amp; Investments</t>
  </si>
  <si>
    <t>w/ Residual</t>
  </si>
  <si>
    <t>Incremental Capital Investment</t>
  </si>
  <si>
    <t>Land Value</t>
  </si>
  <si>
    <t>Existing Assets</t>
  </si>
  <si>
    <t>Total Assets &amp; Investments</t>
  </si>
  <si>
    <t>Cash Inflows/Savings</t>
  </si>
  <si>
    <t>Land Revenue</t>
  </si>
  <si>
    <t>Ramp Revenue</t>
  </si>
  <si>
    <t>Office Revenue</t>
  </si>
  <si>
    <t>Hangar Revenue</t>
  </si>
  <si>
    <t>Total Cash Inflows</t>
  </si>
  <si>
    <t>Cash Outflows</t>
  </si>
  <si>
    <t>General Admin Expenses</t>
  </si>
  <si>
    <t>Operating Expenses</t>
  </si>
  <si>
    <t>Total Cash Outflows</t>
  </si>
  <si>
    <t>Net Cash Flow with Residual</t>
  </si>
  <si>
    <t xml:space="preserve">Discounted Net Cash Flow </t>
  </si>
  <si>
    <t>Financial Results</t>
  </si>
  <si>
    <t>Incremental Investment only</t>
  </si>
  <si>
    <t>Incremental Investment + Land + Existing Assets</t>
  </si>
  <si>
    <t>Net Present Value (with residual)</t>
  </si>
  <si>
    <t>Net Present Value of Cash Flow Only (without residual)</t>
  </si>
  <si>
    <t>Discounted Payback Period in years</t>
  </si>
  <si>
    <t>Calculations</t>
  </si>
  <si>
    <t>Incremental Discounted Payback Period in Years</t>
  </si>
  <si>
    <t>Net Cash Flow</t>
  </si>
  <si>
    <t>Cumulative Cash Flow</t>
  </si>
  <si>
    <t>Net Present Value with Residual</t>
  </si>
  <si>
    <t xml:space="preserve">Net Cash Flow of Incremental Investment </t>
  </si>
  <si>
    <t>Net Cash Flow of Incremental Inv. + Land + Existing Assets</t>
  </si>
  <si>
    <t>Net Present Value without Residual</t>
  </si>
  <si>
    <t>Tom</t>
  </si>
  <si>
    <t>Analysis of Return on Investment</t>
  </si>
  <si>
    <t>Project #</t>
  </si>
  <si>
    <t>&lt;&lt;enter&gt;&gt;</t>
  </si>
  <si>
    <t>Project Name</t>
  </si>
  <si>
    <t>Project Type</t>
  </si>
  <si>
    <t>Project Capital Cost</t>
  </si>
  <si>
    <t>Asset Life</t>
  </si>
  <si>
    <t>Project Assumptions for 
Financial Analysis</t>
  </si>
  <si>
    <t>Capital (Costs)</t>
  </si>
  <si>
    <t>&lt;-- This simple model expects only one capital outlay</t>
  </si>
  <si>
    <t>Operating Savings/(Costs)</t>
  </si>
  <si>
    <t>Incremental Revenue</t>
  </si>
  <si>
    <t>&lt;-- Enter as positive numbers</t>
  </si>
  <si>
    <t>Net Cash Impact</t>
  </si>
  <si>
    <t>Internal Rate of Return</t>
  </si>
  <si>
    <t>Change year here ---&gt;</t>
  </si>
  <si>
    <t>Directions for use:</t>
  </si>
  <si>
    <t>Only leave formulas in row 27 and 28 for the years that are applicable</t>
  </si>
  <si>
    <t>Use goal Seek to determine the IRR in B21 that makes W28 zero ($0.00) or if you need to calculate the annual savings for a project with an expected life, use goal seek to determine W28 with your desired rate of return.</t>
  </si>
  <si>
    <t>This makes a nice little summary to include in the Capital Budget justification</t>
  </si>
  <si>
    <t>&lt;&lt;Enter Co Name&gt;&gt;</t>
  </si>
  <si>
    <t>HURDLE RATE TRACKINIG</t>
  </si>
  <si>
    <t>AS OF &lt;&lt;Enter Date&gt;&gt;</t>
  </si>
  <si>
    <t>PROJECT BUDGET YEAR</t>
  </si>
  <si>
    <t>CIP BUDGET BOOK PROJECT NUMBER</t>
  </si>
  <si>
    <t>PROJECT TITLE</t>
  </si>
  <si>
    <t>PROJECT TYPE</t>
  </si>
  <si>
    <t>CIP NUMBER (ASSIGNED ONCE APPROVED)</t>
  </si>
  <si>
    <t>BUDGET PER CAPITAL BUDGET BOOK</t>
  </si>
  <si>
    <t>BUDGETED IRR (INITIAL HURDLE RATE CALCULATION)</t>
  </si>
  <si>
    <t>STATUS</t>
  </si>
  <si>
    <t>SUBSTANTIAL COMPLETION DATE</t>
  </si>
  <si>
    <t>FINAL SPEND 
(IF COMPLETE)</t>
  </si>
  <si>
    <t>IRR AS OF FEBRUARY 2014</t>
  </si>
  <si>
    <t>TOTAL SPEND THROUGH 12/31/2013 IF NOT COMPLETE (ACCRUAL)</t>
  </si>
  <si>
    <t>ANTICIPATED COMPLETION DATE (IF NOT YET COMPLETE)</t>
  </si>
  <si>
    <t>PREVIOUSLY REPORTED ANTICIPATED RATES OF RETURN AS OF:</t>
  </si>
  <si>
    <t>OTHER COMMENTS / NOTES</t>
  </si>
  <si>
    <t>(2012) Snow Equipment - Multipurpose Equipment (Fleet Replacement)</t>
  </si>
  <si>
    <t>Vehicle &amp; Equipment Replacement</t>
  </si>
  <si>
    <t>Complete, in service 12/2013; too early to do comprehensive analysis</t>
  </si>
  <si>
    <t>Too early to calc</t>
  </si>
  <si>
    <t>N/A</t>
  </si>
  <si>
    <t>Will complete calculation summer of 2014</t>
  </si>
  <si>
    <t>Purchase of Airplane Hangar</t>
  </si>
  <si>
    <t>Other</t>
  </si>
  <si>
    <t>Complete</t>
  </si>
  <si>
    <t>Replacement of the Passenger Boarding Bridges (PBBs) Flooring</t>
  </si>
  <si>
    <t>Complete; Budget was for 24 PBBs but favorable bids allowed for all 40 to be done</t>
  </si>
  <si>
    <t>Customer Service Initiative (per board paper)</t>
  </si>
  <si>
    <t>CEP - Install Variable Speed Drive on Chiller #2</t>
  </si>
  <si>
    <t>Properties &amp; Non-Terminal Buildings</t>
  </si>
  <si>
    <t>&gt;12.5%</t>
  </si>
  <si>
    <t>In design</t>
  </si>
  <si>
    <t>IMC - Lighting System Improvements</t>
  </si>
  <si>
    <t>Parking Facility Enhancements</t>
  </si>
  <si>
    <t>Revenue Development</t>
  </si>
  <si>
    <t>RD</t>
  </si>
  <si>
    <t>Partially complete in 2013, expect full completion in 2014</t>
  </si>
  <si>
    <t>Property - Land Use Development</t>
  </si>
  <si>
    <t>Not yet complete</t>
  </si>
  <si>
    <t>Property - Geographic Information System</t>
  </si>
  <si>
    <t>Moving forward in 2014</t>
  </si>
  <si>
    <t>Property - Building 63 Rehabilitation</t>
  </si>
  <si>
    <t>In final phase of construction</t>
  </si>
  <si>
    <t>Eagle Hub Apron Rehabilitation</t>
  </si>
  <si>
    <t>TBD</t>
  </si>
  <si>
    <t>In design, however AIP funding is now anticipated, will not be subject to hurdle rate if funding received.</t>
  </si>
  <si>
    <t>Rehabilitate Apron at Old Terminal</t>
  </si>
  <si>
    <t>IMC - Increase Hangar 1B and 2A Capacity, remove mezzanine and suspended docking system</t>
  </si>
  <si>
    <t>&gt; 12.5%</t>
  </si>
  <si>
    <t>Delayed, dependent upon AAR lease negotiations</t>
  </si>
  <si>
    <t>Property - Land Use Development - Ronald Reagan/Stafford Rd. - IND</t>
  </si>
  <si>
    <t>Delayed; dependent upon revenue deal</t>
  </si>
  <si>
    <t>IMC - Increase Hangar 1A Capacity, remove mezzanine &amp; suspended docking system</t>
  </si>
  <si>
    <t>Fuel Farm Expansion (Jet Fuel) - Hendricks Co.</t>
  </si>
  <si>
    <t>Relievers - Hendricks County Airport</t>
  </si>
  <si>
    <t>Not yet started, Requires FAA approval</t>
  </si>
  <si>
    <t>(2013) Aerial Lift Truck Replacement</t>
  </si>
  <si>
    <t>Vehicular Equipment Replacements</t>
  </si>
  <si>
    <t>Delayed, options still being evaluated</t>
  </si>
  <si>
    <t>Property - USPS Building Rehabilitation</t>
  </si>
  <si>
    <t>REVISED BUDGETED COST IN 2014 BUDGET BOOK, WAS ORIGINALLY $7.541MM</t>
  </si>
  <si>
    <t>Construct New Taxiway Connector Taxiway D to Cargo Apron</t>
  </si>
  <si>
    <t>Delayed</t>
  </si>
  <si>
    <t>Property - Pre-development of Sites 404A/404B/404C</t>
  </si>
  <si>
    <t>IMC Leasehold Utility Segregation</t>
  </si>
  <si>
    <t>IAA Office Moves 2011</t>
  </si>
  <si>
    <t>**</t>
  </si>
  <si>
    <t>IMC - High bay Light Replacement</t>
  </si>
  <si>
    <t>Parking Garage Lighting</t>
  </si>
  <si>
    <t>Exit Lane Breach Control System For A Concourse</t>
  </si>
  <si>
    <t>Safety &amp; Security</t>
  </si>
  <si>
    <t>INACTIVE PROJECT (2014)</t>
  </si>
  <si>
    <t>INACTIVE, REPLACED BY PROJECT 2014-20</t>
  </si>
  <si>
    <t>Safety</t>
  </si>
  <si>
    <t>PROJECT REVISED DURING 2014 CAPITAL BUDGET</t>
  </si>
  <si>
    <t>Implement Energy Improvements - Terminal Heat Recovery Chiller</t>
  </si>
  <si>
    <t>Environmental</t>
  </si>
  <si>
    <t>INACTIVE, REASSESSING OPTIONS (T. METHOD 2/13/2014)</t>
  </si>
  <si>
    <t>CEP - Add Emissions Controls to Emergency Diesel Generators</t>
  </si>
  <si>
    <t>INACTIVE, NOT COST EFFECTIVE (T. METHOD 2/13/2014)</t>
  </si>
  <si>
    <t>(2012) Shuttle Bus Replacement Program</t>
  </si>
  <si>
    <t>Variable</t>
  </si>
  <si>
    <t>INACTIVE, REPLACED BY SURFACE LOT TRANSPORTATION PROGRAM PROJECT</t>
  </si>
  <si>
    <t>KEY TO PROJECT STATUS:</t>
  </si>
  <si>
    <t>Projects moving forward (currently in design or construction phase), however not yet complete.</t>
  </si>
  <si>
    <t>Projects that are pending AIP funding, should that funding be received they will be deemed not subject to hurdle rate as they are preserving existing assets and receiving funding.</t>
  </si>
  <si>
    <t>Delayed projects not yet moving forward; dependent upon revenue deals, outside part approvals, etc.</t>
  </si>
  <si>
    <t>Completed projects subject to hurdle rate that have previously been reported on and have met or exceeded the expected hurdle rate.</t>
  </si>
  <si>
    <t>Inactive projects no longer expected to move forward.</t>
  </si>
  <si>
    <t>INDIANAPOLIS AIRPORT AUTHORITY</t>
  </si>
  <si>
    <t>2015 CAPITAL IMPROVEMENT PROGRAM SUMMARY</t>
  </si>
  <si>
    <t>Final - Review with Airlines</t>
  </si>
  <si>
    <t>*2015 PROJECT NUMBER</t>
  </si>
  <si>
    <t>$ in 000's</t>
  </si>
  <si>
    <t>RISK LEVELS USED FOR COST ESTIMATING</t>
  </si>
  <si>
    <t>TOTAL PROJECT COST</t>
  </si>
  <si>
    <t>ACTUAL COST THRU 2013
(1)</t>
  </si>
  <si>
    <t>2014 FORECAST COST</t>
  </si>
  <si>
    <t>2015 PROJECT COST</t>
  </si>
  <si>
    <t>2012 MII APPROVAL AMOUNT / EXCLUSION SECTION**</t>
  </si>
  <si>
    <t>PROJECTED SOURCE OF FUNDS</t>
  </si>
  <si>
    <t>HURDLE RATE</t>
  </si>
  <si>
    <t>RATES &amp; CHARGES IMPACT (3)</t>
  </si>
  <si>
    <t>2015 CASH FLOW</t>
  </si>
  <si>
    <t>FUNDING BY TYPE</t>
  </si>
  <si>
    <t>(BASED ON TOTAL PROJECT COSTS)</t>
  </si>
  <si>
    <t>ENTITLEMENT GRANTS</t>
  </si>
  <si>
    <t>CONTINGENT DISCRETIONARY &amp; OTHER GRANTS</t>
  </si>
  <si>
    <t>AIRPORT FUNDS</t>
  </si>
  <si>
    <t>HURDLE RATE APPLIED?</t>
  </si>
  <si>
    <t>INTERNAL RATE OF RETURN (IRR)</t>
  </si>
  <si>
    <t>EXCLUSION IF NOT APPLIED</t>
  </si>
  <si>
    <t>Variance - Funding vs. 2015 Costs</t>
  </si>
  <si>
    <t>GRANTS</t>
  </si>
  <si>
    <t>Discretionary/Contingent</t>
  </si>
  <si>
    <t>Insurance</t>
  </si>
  <si>
    <t>OTHER</t>
  </si>
  <si>
    <t>AIRPORT FUNDS / DEBT</t>
  </si>
  <si>
    <t>DESIGN RISK</t>
  </si>
  <si>
    <t>CONSTRUCTION RISK</t>
  </si>
  <si>
    <t>PROJECT COST TO BE RATE BASED</t>
  </si>
  <si>
    <t>YEAR RATES &amp; CHARGES IMPACTED</t>
  </si>
  <si>
    <t>ESTIMATED USEFUL LIFE (# OF YEARS)</t>
  </si>
  <si>
    <r>
      <t xml:space="preserve">PROJECTS THAT ARE NOT SUBJECT TO MII VOTE 
</t>
    </r>
    <r>
      <rPr>
        <b/>
        <i/>
        <sz val="10"/>
        <color rgb="FF0070C0"/>
        <rFont val="Lucida Sans"/>
        <family val="2"/>
      </rPr>
      <t>(PROJECTS IN BLUE FONT WILL BE FUNDED USING 2015 AIRPORT FUNDS GREATER THAN $750,000)</t>
    </r>
  </si>
  <si>
    <t>Apron Stormwater Inlet Repairs - IND</t>
  </si>
  <si>
    <t>Apron &amp; Other Airfield</t>
  </si>
  <si>
    <t>No</t>
  </si>
  <si>
    <t>Replacement of Necessary Asset</t>
  </si>
  <si>
    <t>Pavement Management: Airfield Rehabilitation Program - 2015</t>
  </si>
  <si>
    <t>Grant Funded / FAA Regulatory</t>
  </si>
  <si>
    <t>Airfield Pavement Evaluation and Management Plan Update</t>
  </si>
  <si>
    <t>Airfield Electrical Replacement - Preliminary Design</t>
  </si>
  <si>
    <t>Grant Funded / Replacement of Necessary Asset</t>
  </si>
  <si>
    <t>Rehabilitate Taxiway D</t>
  </si>
  <si>
    <t>Install Concourse Exhaust Ducts</t>
  </si>
  <si>
    <t>Terminal</t>
  </si>
  <si>
    <t>Retrofit to Initial Construction</t>
  </si>
  <si>
    <t>Terminal Water Softening System</t>
  </si>
  <si>
    <t>Terminal Entry Expansion Joint Rehabilitation</t>
  </si>
  <si>
    <t>Required Maintenance of Existing Asset</t>
  </si>
  <si>
    <t>Parking Garage Improvements - 2015</t>
  </si>
  <si>
    <t>Parking</t>
  </si>
  <si>
    <t>Garage Atrium Canopy Replacement</t>
  </si>
  <si>
    <t>Replacement of GTC and Pedestrian Entry Doors</t>
  </si>
  <si>
    <t>Rehabilitate Asphalt Lots 2015</t>
  </si>
  <si>
    <t>Parking Garage Improvements 2013-2014</t>
  </si>
  <si>
    <t>Garage Atrium Canopy Repair</t>
  </si>
  <si>
    <t xml:space="preserve">Deicing Control Facilities Improvements - 2015 </t>
  </si>
  <si>
    <t>Environmental &amp; Other Regulatory</t>
  </si>
  <si>
    <t>Grant Funded / Environmental / Regulatory</t>
  </si>
  <si>
    <t>Stormwater REI Project</t>
  </si>
  <si>
    <t>-</t>
  </si>
  <si>
    <t>Rehabilitate Airport Roads - 2015</t>
  </si>
  <si>
    <t>Non-Airfield Roadways</t>
  </si>
  <si>
    <t>West Perimeter Road Bridge Repairs</t>
  </si>
  <si>
    <t>Rehabilitate High School Road, Rehabilitate Roads 2014, and Replace Republic Entrance</t>
  </si>
  <si>
    <t>PARCS System Assessment &amp; Implementation</t>
  </si>
  <si>
    <t>Information Technology</t>
  </si>
  <si>
    <t>Computer, Server and Equipment Replacement Program (2015)</t>
  </si>
  <si>
    <t>Replacement of Equipment with no Utility</t>
  </si>
  <si>
    <t>Capital Project Management System - Engineering</t>
  </si>
  <si>
    <t>Crashphone - Firehouse alerting</t>
  </si>
  <si>
    <t>Health Safety</t>
  </si>
  <si>
    <t>HR System Alignment</t>
  </si>
  <si>
    <t>Airport Management System Upgrades - ERP Assessment (2013)</t>
  </si>
  <si>
    <t xml:space="preserve">Replacement of Required System </t>
  </si>
  <si>
    <t>(2014) Snow Equipment Replacement - Snow Blowers (2 pieces)</t>
  </si>
  <si>
    <t xml:space="preserve"> </t>
  </si>
  <si>
    <t>(2015) Aerial Lift Truck Replacement</t>
  </si>
  <si>
    <t xml:space="preserve">Property - IAA Staff Consolidation </t>
  </si>
  <si>
    <t>Property - Relocate record storage create temp. controlled space for air cargo</t>
  </si>
  <si>
    <t>Advance Planning and Design - 2015</t>
  </si>
  <si>
    <t>Planning Capital</t>
  </si>
  <si>
    <t>Construct New Airfield Maintenance Facility</t>
  </si>
  <si>
    <t>Replacement of Essential Asset / Safety / Grant Funded</t>
  </si>
  <si>
    <t>Central Energy Plant Cooling Tower Steel</t>
  </si>
  <si>
    <t>IMC - Commons Building Roof Replacement</t>
  </si>
  <si>
    <t>Old Parking Garage - Preservation Project</t>
  </si>
  <si>
    <t>Property - Building 7 Rehabilitation</t>
  </si>
  <si>
    <t>Heliport HVAC Replacement</t>
  </si>
  <si>
    <t>Relievers</t>
  </si>
  <si>
    <t>Property - Building 63 Interior Demo</t>
  </si>
  <si>
    <t>Noise &amp; General Airport System Land Acquisition</t>
  </si>
  <si>
    <t>Regulatory / Capacity Enhancement</t>
  </si>
  <si>
    <t>Non-MII Approval</t>
  </si>
  <si>
    <t>*Project Numbers were only given to New Projects or those projects with cost increase more than 10% over originally approved amount.</t>
  </si>
  <si>
    <t>**Project was previously approved; however cost increased more than 10% or scope has changed.</t>
  </si>
  <si>
    <r>
      <t xml:space="preserve">(1) </t>
    </r>
    <r>
      <rPr>
        <b/>
        <sz val="10"/>
        <color indexed="8"/>
        <rFont val="Lucida Sans"/>
        <family val="2"/>
      </rPr>
      <t>Total includes only projects shown on the Program Summary.</t>
    </r>
  </si>
  <si>
    <t>RD = Revenue Development Projects that are subject to the Hurdle Rate Policy, and as we enter into these projects, we will ensure that the appropriate Hurdle Rates are met before proceeding.</t>
  </si>
  <si>
    <t>Rehabilitate IAB Roof</t>
  </si>
  <si>
    <t>IMC - Recoating of the IW Tank enclosure containment area</t>
  </si>
  <si>
    <t>Environmental / Regulatory</t>
  </si>
  <si>
    <t>Economics cannot be accurately forecast</t>
  </si>
  <si>
    <t>Airport Layout Plan (ALP) Update - Eagle Creek</t>
  </si>
  <si>
    <t>Rehabilitate, Relocate &amp; Widen Taxiway B - Eagle Creek</t>
  </si>
  <si>
    <t>Structural Slab Replacement - Heliport</t>
  </si>
  <si>
    <t>Rehabilitate Runway &amp; Taxiway Connectors A1, A2, A3, A4  - Metropolitan</t>
  </si>
  <si>
    <t>Replace Airfield Lighting - Metropolitan</t>
  </si>
  <si>
    <t>Rehabilitate T-Hangar Taxilanes - Indy Regional</t>
  </si>
  <si>
    <t>Previously Approved</t>
  </si>
  <si>
    <t>Rehabilitate Runway 5L-23R Phase I and Phase II</t>
  </si>
  <si>
    <t>Rehabilitate Taxiway A</t>
  </si>
  <si>
    <t xml:space="preserve">Stormwater and Deicing Controls and Capacity - Phase 2B  </t>
  </si>
  <si>
    <t>Rehabilitate Taxiway B</t>
  </si>
  <si>
    <t>Shuttle Bus Replacement (Parking)</t>
  </si>
  <si>
    <t>Parking Revenue Development Strategy</t>
  </si>
  <si>
    <t>Geographic Information System</t>
  </si>
  <si>
    <t>Systems Improvement for Revenue Development</t>
  </si>
  <si>
    <t>Replace Aviation Fuel Farm - Heliport</t>
  </si>
  <si>
    <t>8.01 (E)</t>
  </si>
  <si>
    <t>Purchase of Hydraulic Atrium Lift</t>
  </si>
  <si>
    <t>Acquisition of Necessary Equipment</t>
  </si>
  <si>
    <t>Site Preparation for Revenue Development / Grant Funded</t>
  </si>
  <si>
    <t>Enlarge Terminal Entrance - Bag Claim</t>
  </si>
  <si>
    <t>Disparity Study for the Indianapolis Airport Authority</t>
  </si>
  <si>
    <t>FAA Regulatory</t>
  </si>
  <si>
    <t>Capital Salaries</t>
  </si>
  <si>
    <t>GAAP Requirement</t>
  </si>
  <si>
    <t>SUBTOTAL PROJECTS SHOWN ON THE PROGRAM SUMMARY</t>
  </si>
  <si>
    <t>2014 PROJECTS NOT LISTED ON THE PROGRAM SUMMARY</t>
  </si>
  <si>
    <t>GRAND TOTAL (1)</t>
  </si>
  <si>
    <t>SUBTOTAL PROJECTS SUBJECT TO MII APPROVAL</t>
  </si>
  <si>
    <t>NONE</t>
  </si>
  <si>
    <t>SUBTOTAL PROJECTS WITH 2015 FORECASTED SPEND</t>
  </si>
  <si>
    <t>( C) = (A) + (B)</t>
  </si>
  <si>
    <t>OTHER PROJECTS WITH NO 2015 IMPACT OR 2014 PROJECTS SUBJECT TO APPROVAL</t>
  </si>
  <si>
    <t>Demolition of Old Terminal and Administration Building</t>
  </si>
  <si>
    <t>Property - Common Use Business Class Lounge</t>
  </si>
  <si>
    <t>MII Approval</t>
  </si>
  <si>
    <t>Property - Fuel Pipeline Development</t>
  </si>
  <si>
    <t>Yes</t>
  </si>
  <si>
    <t>SUBTOTAL NEW PROJECTS STARTING IN 2012 OR ONGOING PROJECTS ELIGIBLE FOR MII APPROVAL</t>
  </si>
  <si>
    <t>(A)</t>
  </si>
  <si>
    <t>ON-GOING PROJECTS NOT SUBJECT TO MII APPROVAL</t>
  </si>
  <si>
    <t>Noise &amp; General Aiport System Land Acquisition</t>
  </si>
  <si>
    <t>Capacity</t>
  </si>
  <si>
    <t>(5)</t>
  </si>
  <si>
    <t>Airport Management System Upgrades - MP2 (2012)</t>
  </si>
  <si>
    <t>(2011) Sweeper Truck Replacement</t>
  </si>
  <si>
    <t>IMC - Central Plant steam trap replacement</t>
  </si>
  <si>
    <t>(2011) Snow Equipment Replacement Program</t>
  </si>
  <si>
    <t>SUBTOTAL</t>
  </si>
  <si>
    <t>(B)</t>
  </si>
  <si>
    <t>2012 Project Costs Expected to Impact Rate Base</t>
  </si>
  <si>
    <t>SUBTOTAL PROJECTS WITH 2012 FORECASTED SPEND</t>
  </si>
  <si>
    <t>OTHER PROJECTS WITH NO 2012 IMPACT</t>
  </si>
  <si>
    <t>GRAND TOTAL (6)</t>
  </si>
  <si>
    <t>HURDLE RATE EXCLUSIONS:</t>
  </si>
  <si>
    <t>Replacement of Critical Infrastructure that can not be repaired economically</t>
  </si>
  <si>
    <t>Lease Requirement</t>
  </si>
  <si>
    <t>Maintenance of Irreplaceable System</t>
  </si>
  <si>
    <t>&lt;-- Check your cost savings escalation in the formulas</t>
  </si>
  <si>
    <t>MODIFIED INTERNAL RATE OF RETURN WORKSHEEET PROVIDED BY PDX</t>
  </si>
  <si>
    <t>INTERNAL RATE OF RETURN WORKSHEEET PROVIDED BY IND</t>
  </si>
  <si>
    <t>WORKSHEEET PROVIDED BY 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</si>
</sst>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m/d/yy;@"/>
    <numFmt numFmtId="168" formatCode="[$$-409]#,##0_);[Red]\([$$-409]#,##0\)"/>
    <numFmt numFmtId="169" formatCode="0_)"/>
    <numFmt numFmtId="170" formatCode="[$-409]mmmm\ d\,\ yyyy;@"/>
  </numFmts>
  <fonts count="43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ITC Stone Sans Std Medium"/>
      <family val="2"/>
    </font>
    <font>
      <sz val="10"/>
      <name val="ITC Stone Sans Std Medium"/>
      <family val="2"/>
    </font>
    <font>
      <b/>
      <i/>
      <sz val="10"/>
      <name val="ITC Stone Sans Std Medium"/>
      <family val="2"/>
    </font>
    <font>
      <sz val="10"/>
      <color rgb="FF0000FF"/>
      <name val="ITC Stone Sans Std Medium"/>
      <family val="2"/>
    </font>
    <font>
      <b/>
      <sz val="10"/>
      <color rgb="FF0000FF"/>
      <name val="ITC Stone Sans Std Medium"/>
      <family val="2"/>
    </font>
    <font>
      <sz val="10"/>
      <name val="Arial"/>
      <family val="2"/>
    </font>
    <font>
      <sz val="10"/>
      <color indexed="8"/>
      <name val="ITC Stone Sans Std Medium"/>
      <family val="2"/>
    </font>
    <font>
      <sz val="10"/>
      <color theme="2" tint="-0.249977111117893"/>
      <name val="ITC Stone Sans Std Medium"/>
      <family val="2"/>
    </font>
    <font>
      <sz val="10"/>
      <color theme="5" tint="-0.249977111117893"/>
      <name val="ITC Stone Sans Std Medium"/>
      <family val="2"/>
    </font>
    <font>
      <sz val="10"/>
      <color rgb="FF000000"/>
      <name val="MS Sans Serif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ahoma"/>
      <family val="2"/>
    </font>
    <font>
      <sz val="6"/>
      <name val="Helv"/>
    </font>
    <font>
      <b/>
      <sz val="14"/>
      <name val="ITC Stone Sans Std Medium"/>
      <family val="2"/>
    </font>
    <font>
      <sz val="10"/>
      <color rgb="FF0000FF"/>
      <name val="Arial"/>
      <family val="2"/>
    </font>
    <font>
      <sz val="10"/>
      <color theme="1"/>
      <name val="ITC Stone Sans Std Medium"/>
      <family val="2"/>
    </font>
    <font>
      <u val="singleAccounting"/>
      <sz val="10"/>
      <name val="ITC Stone Sans Std Medium"/>
      <family val="2"/>
    </font>
    <font>
      <u val="singleAccounting"/>
      <sz val="10"/>
      <color rgb="FF0000FF"/>
      <name val="ITC Stone Sans Std Medium"/>
      <family val="2"/>
    </font>
    <font>
      <u val="doubleAccounting"/>
      <sz val="10"/>
      <name val="ITC Stone Sans Std Medium"/>
      <family val="2"/>
    </font>
    <font>
      <sz val="8"/>
      <name val="ITC Stone Sans Std Medium"/>
      <family val="2"/>
    </font>
    <font>
      <sz val="10"/>
      <color indexed="8"/>
      <name val="Arial"/>
      <family val="2"/>
    </font>
    <font>
      <b/>
      <sz val="10"/>
      <color indexed="8"/>
      <name val="ITC Stone Sans Std Medium"/>
      <family val="2"/>
    </font>
    <font>
      <sz val="11"/>
      <color theme="1"/>
      <name val="Lucida Sans"/>
      <family val="2"/>
    </font>
    <font>
      <b/>
      <sz val="11"/>
      <color indexed="8"/>
      <name val="ITC Stone Sans Std Medium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b/>
      <i/>
      <sz val="10"/>
      <color indexed="8"/>
      <name val="Lucida Sans"/>
      <family val="2"/>
    </font>
    <font>
      <b/>
      <i/>
      <sz val="10"/>
      <color rgb="FF0070C0"/>
      <name val="Lucida Sans"/>
      <family val="2"/>
    </font>
    <font>
      <sz val="10"/>
      <color rgb="FF0070C0"/>
      <name val="Lucida Sans"/>
      <family val="2"/>
    </font>
    <font>
      <sz val="10"/>
      <name val="Lucida Sans"/>
      <family val="2"/>
    </font>
    <font>
      <i/>
      <sz val="10"/>
      <color indexed="8"/>
      <name val="Lucida Sans"/>
      <family val="2"/>
    </font>
    <font>
      <b/>
      <sz val="10"/>
      <color rgb="FF0070C0"/>
      <name val="Lucida Sans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>
      <alignment vertical="top"/>
    </xf>
    <xf numFmtId="44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2" fontId="20" fillId="0" borderId="0" applyFont="0" applyFill="0" applyBorder="0" applyAlignment="0" applyProtection="0"/>
    <xf numFmtId="8" fontId="2" fillId="0" borderId="0" applyFont="0" applyFill="0" applyBorder="0" applyAlignment="0" applyProtection="0"/>
    <xf numFmtId="169" fontId="21" fillId="0" borderId="0"/>
    <xf numFmtId="0" fontId="1" fillId="0" borderId="0"/>
    <xf numFmtId="9" fontId="2" fillId="0" borderId="0" applyFont="0" applyFill="0" applyBorder="0" applyAlignment="0" applyProtection="0"/>
    <xf numFmtId="0" fontId="29" fillId="0" borderId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23">
    <xf numFmtId="0" fontId="0" fillId="0" borderId="0" xfId="0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>
      <alignment vertical="top"/>
    </xf>
    <xf numFmtId="44" fontId="4" fillId="0" borderId="0" xfId="1" applyFont="1" applyAlignment="1">
      <alignment vertical="top"/>
    </xf>
    <xf numFmtId="44" fontId="4" fillId="0" borderId="0" xfId="1" quotePrefix="1" applyFont="1" applyAlignment="1">
      <alignment vertical="top"/>
    </xf>
    <xf numFmtId="0" fontId="4" fillId="0" borderId="0" xfId="0" quotePrefix="1" applyFont="1">
      <alignment vertical="top"/>
    </xf>
    <xf numFmtId="0" fontId="4" fillId="0" borderId="0" xfId="0" applyFont="1" applyAlignment="1">
      <alignment vertical="top" wrapText="1"/>
    </xf>
    <xf numFmtId="0" fontId="4" fillId="2" borderId="0" xfId="0" applyFont="1" applyFill="1">
      <alignment vertical="top"/>
    </xf>
    <xf numFmtId="164" fontId="4" fillId="0" borderId="0" xfId="1" applyNumberFormat="1" applyFont="1" applyAlignment="1">
      <alignment vertical="top"/>
    </xf>
    <xf numFmtId="44" fontId="5" fillId="0" borderId="0" xfId="1" applyFont="1" applyAlignment="1">
      <alignment vertical="top"/>
    </xf>
    <xf numFmtId="165" fontId="4" fillId="0" borderId="4" xfId="0" applyNumberFormat="1" applyFont="1" applyBorder="1">
      <alignment vertical="top"/>
    </xf>
    <xf numFmtId="0" fontId="4" fillId="3" borderId="0" xfId="0" applyFont="1" applyFill="1">
      <alignment vertical="top"/>
    </xf>
    <xf numFmtId="0" fontId="3" fillId="0" borderId="0" xfId="0" applyFont="1">
      <alignment vertical="top"/>
    </xf>
    <xf numFmtId="164" fontId="4" fillId="0" borderId="0" xfId="1" quotePrefix="1" applyNumberFormat="1" applyFont="1" applyAlignment="1">
      <alignment horizontal="left" vertical="top"/>
    </xf>
    <xf numFmtId="164" fontId="6" fillId="0" borderId="0" xfId="1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4" fillId="0" borderId="0" xfId="2" applyFont="1"/>
    <xf numFmtId="0" fontId="3" fillId="0" borderId="0" xfId="2" applyFont="1"/>
    <xf numFmtId="0" fontId="4" fillId="0" borderId="0" xfId="2" applyFont="1" applyAlignment="1">
      <alignment horizontal="center"/>
    </xf>
    <xf numFmtId="0" fontId="7" fillId="0" borderId="0" xfId="0" applyFont="1">
      <alignment vertical="top"/>
    </xf>
    <xf numFmtId="0" fontId="10" fillId="0" borderId="1" xfId="0" quotePrefix="1" applyFont="1" applyBorder="1" applyAlignment="1">
      <alignment horizontal="left" vertical="top"/>
    </xf>
    <xf numFmtId="165" fontId="10" fillId="0" borderId="2" xfId="0" applyNumberFormat="1" applyFont="1" applyBorder="1">
      <alignment vertical="top"/>
    </xf>
    <xf numFmtId="0" fontId="10" fillId="0" borderId="5" xfId="0" quotePrefix="1" applyFont="1" applyBorder="1" applyAlignment="1">
      <alignment horizontal="left" vertical="top"/>
    </xf>
    <xf numFmtId="165" fontId="10" fillId="0" borderId="6" xfId="0" applyNumberFormat="1" applyFont="1" applyBorder="1">
      <alignment vertical="top"/>
    </xf>
    <xf numFmtId="0" fontId="4" fillId="0" borderId="3" xfId="0" quotePrefix="1" applyFont="1" applyBorder="1" applyAlignment="1">
      <alignment horizontal="left" vertical="top"/>
    </xf>
    <xf numFmtId="164" fontId="6" fillId="0" borderId="0" xfId="1" applyNumberFormat="1" applyFont="1" applyAlignment="1"/>
    <xf numFmtId="164" fontId="4" fillId="0" borderId="0" xfId="1" applyNumberFormat="1" applyFont="1" applyAlignment="1"/>
    <xf numFmtId="164" fontId="3" fillId="0" borderId="0" xfId="1" quotePrefix="1" applyNumberFormat="1" applyFont="1" applyAlignment="1">
      <alignment horizontal="left" vertical="top"/>
    </xf>
    <xf numFmtId="164" fontId="6" fillId="0" borderId="0" xfId="1" quotePrefix="1" applyNumberFormat="1" applyFont="1" applyAlignment="1">
      <alignment horizontal="left" vertical="top"/>
    </xf>
    <xf numFmtId="164" fontId="11" fillId="0" borderId="0" xfId="1" quotePrefix="1" applyNumberFormat="1" applyFont="1" applyAlignment="1">
      <alignment horizontal="left" vertical="top"/>
    </xf>
    <xf numFmtId="164" fontId="11" fillId="0" borderId="0" xfId="1" applyNumberFormat="1" applyFont="1" applyAlignment="1"/>
    <xf numFmtId="164" fontId="11" fillId="0" borderId="0" xfId="1" quotePrefix="1" applyNumberFormat="1" applyFont="1" applyAlignment="1">
      <alignment horizontal="left"/>
    </xf>
    <xf numFmtId="164" fontId="4" fillId="0" borderId="11" xfId="1" applyNumberFormat="1" applyFont="1" applyBorder="1" applyAlignment="1">
      <alignment vertical="top"/>
    </xf>
    <xf numFmtId="164" fontId="4" fillId="0" borderId="0" xfId="1" applyNumberFormat="1" applyFont="1" applyAlignment="1">
      <alignment horizontal="left" vertical="top" indent="1"/>
    </xf>
    <xf numFmtId="164" fontId="4" fillId="0" borderId="0" xfId="1" applyNumberFormat="1" applyFont="1" applyBorder="1" applyAlignment="1">
      <alignment vertical="top"/>
    </xf>
    <xf numFmtId="0" fontId="13" fillId="5" borderId="12" xfId="2" applyFont="1" applyFill="1" applyBorder="1" applyAlignment="1">
      <alignment horizontal="center" wrapText="1"/>
    </xf>
    <xf numFmtId="0" fontId="14" fillId="4" borderId="7" xfId="2" applyFont="1" applyFill="1" applyBorder="1" applyAlignment="1">
      <alignment horizontal="center"/>
    </xf>
    <xf numFmtId="0" fontId="14" fillId="4" borderId="8" xfId="2" applyFont="1" applyFill="1" applyBorder="1" applyAlignment="1">
      <alignment horizontal="center"/>
    </xf>
    <xf numFmtId="0" fontId="15" fillId="0" borderId="0" xfId="2" applyFont="1" applyFill="1" applyBorder="1" applyAlignment="1"/>
    <xf numFmtId="0" fontId="8" fillId="0" borderId="0" xfId="2" applyFill="1" applyBorder="1"/>
    <xf numFmtId="0" fontId="8" fillId="0" borderId="0" xfId="2" applyBorder="1"/>
    <xf numFmtId="0" fontId="8" fillId="0" borderId="0" xfId="2"/>
    <xf numFmtId="0" fontId="14" fillId="0" borderId="0" xfId="2" applyFont="1" applyFill="1"/>
    <xf numFmtId="0" fontId="16" fillId="0" borderId="0" xfId="2" applyFont="1" applyFill="1" applyBorder="1" applyAlignment="1">
      <alignment horizontal="center"/>
    </xf>
    <xf numFmtId="167" fontId="16" fillId="0" borderId="0" xfId="2" applyNumberFormat="1" applyFont="1" applyFill="1" applyBorder="1" applyAlignment="1">
      <alignment horizontal="center"/>
    </xf>
    <xf numFmtId="0" fontId="8" fillId="0" borderId="0" xfId="2" applyFill="1"/>
    <xf numFmtId="166" fontId="8" fillId="0" borderId="0" xfId="5" applyNumberFormat="1"/>
    <xf numFmtId="0" fontId="14" fillId="5" borderId="12" xfId="2" applyFont="1" applyFill="1" applyBorder="1" applyAlignment="1">
      <alignment horizontal="center"/>
    </xf>
    <xf numFmtId="165" fontId="17" fillId="0" borderId="0" xfId="3" applyNumberFormat="1" applyFont="1" applyFill="1" applyBorder="1" applyAlignment="1">
      <alignment horizontal="center"/>
    </xf>
    <xf numFmtId="165" fontId="17" fillId="0" borderId="0" xfId="3" applyNumberFormat="1" applyFont="1" applyAlignment="1">
      <alignment horizontal="center"/>
    </xf>
    <xf numFmtId="9" fontId="17" fillId="0" borderId="0" xfId="2" applyNumberFormat="1" applyFont="1" applyAlignment="1">
      <alignment horizontal="center"/>
    </xf>
    <xf numFmtId="1" fontId="17" fillId="0" borderId="0" xfId="3" applyNumberFormat="1" applyFont="1" applyAlignment="1">
      <alignment horizontal="center"/>
    </xf>
    <xf numFmtId="166" fontId="14" fillId="0" borderId="0" xfId="5" applyNumberFormat="1" applyFont="1" applyFill="1" applyBorder="1" applyAlignment="1">
      <alignment horizontal="right"/>
    </xf>
    <xf numFmtId="38" fontId="17" fillId="0" borderId="0" xfId="3" applyNumberFormat="1" applyFont="1" applyAlignment="1"/>
    <xf numFmtId="166" fontId="17" fillId="0" borderId="0" xfId="5" applyNumberFormat="1" applyFont="1" applyFill="1" applyBorder="1" applyAlignment="1">
      <alignment horizontal="center"/>
    </xf>
    <xf numFmtId="0" fontId="8" fillId="0" borderId="0" xfId="2" applyFont="1"/>
    <xf numFmtId="0" fontId="14" fillId="0" borderId="0" xfId="2" applyFont="1"/>
    <xf numFmtId="166" fontId="14" fillId="0" borderId="0" xfId="5" applyNumberFormat="1" applyFont="1" applyFill="1" applyBorder="1" applyAlignment="1">
      <alignment horizontal="center"/>
    </xf>
    <xf numFmtId="44" fontId="17" fillId="0" borderId="0" xfId="4" applyNumberFormat="1" applyFont="1" applyAlignment="1">
      <alignment horizontal="center"/>
    </xf>
    <xf numFmtId="44" fontId="8" fillId="0" borderId="0" xfId="2" applyNumberFormat="1" applyBorder="1"/>
    <xf numFmtId="44" fontId="18" fillId="0" borderId="0" xfId="4" applyNumberFormat="1" applyFont="1" applyAlignment="1">
      <alignment horizontal="center"/>
    </xf>
    <xf numFmtId="44" fontId="8" fillId="0" borderId="0" xfId="2" applyNumberFormat="1"/>
    <xf numFmtId="44" fontId="8" fillId="0" borderId="0" xfId="4" applyNumberFormat="1" applyFont="1" applyAlignment="1">
      <alignment horizontal="center"/>
    </xf>
    <xf numFmtId="166" fontId="8" fillId="0" borderId="0" xfId="5" applyNumberFormat="1" applyBorder="1"/>
    <xf numFmtId="44" fontId="8" fillId="0" borderId="0" xfId="4" applyNumberFormat="1" applyFill="1"/>
    <xf numFmtId="37" fontId="8" fillId="0" borderId="0" xfId="2" applyNumberFormat="1" applyBorder="1" applyAlignment="1">
      <alignment horizontal="center"/>
    </xf>
    <xf numFmtId="37" fontId="8" fillId="0" borderId="0" xfId="5" applyNumberFormat="1" applyBorder="1" applyAlignment="1">
      <alignment horizontal="center"/>
    </xf>
    <xf numFmtId="166" fontId="0" fillId="0" borderId="0" xfId="5" applyNumberFormat="1" applyFont="1" applyBorder="1"/>
    <xf numFmtId="166" fontId="8" fillId="0" borderId="12" xfId="5" applyNumberFormat="1" applyFont="1" applyBorder="1" applyAlignment="1">
      <alignment horizontal="center"/>
    </xf>
    <xf numFmtId="0" fontId="8" fillId="0" borderId="12" xfId="2" applyBorder="1" applyAlignment="1">
      <alignment horizontal="center"/>
    </xf>
    <xf numFmtId="0" fontId="8" fillId="4" borderId="13" xfId="2" applyFill="1" applyBorder="1" applyAlignment="1">
      <alignment horizontal="center"/>
    </xf>
    <xf numFmtId="0" fontId="8" fillId="4" borderId="15" xfId="2" applyFill="1" applyBorder="1" applyAlignment="1">
      <alignment horizontal="center"/>
    </xf>
    <xf numFmtId="0" fontId="8" fillId="0" borderId="13" xfId="2" applyBorder="1" applyAlignment="1">
      <alignment horizontal="center"/>
    </xf>
    <xf numFmtId="0" fontId="8" fillId="4" borderId="16" xfId="2" applyFill="1" applyBorder="1" applyAlignment="1">
      <alignment horizontal="center"/>
    </xf>
    <xf numFmtId="43" fontId="8" fillId="0" borderId="0" xfId="2" applyNumberFormat="1" applyBorder="1" applyAlignment="1">
      <alignment horizontal="right"/>
    </xf>
    <xf numFmtId="6" fontId="8" fillId="0" borderId="0" xfId="5" applyNumberFormat="1" applyAlignment="1">
      <alignment horizontal="center"/>
    </xf>
    <xf numFmtId="6" fontId="8" fillId="0" borderId="0" xfId="2" applyNumberFormat="1" applyAlignment="1">
      <alignment horizontal="center"/>
    </xf>
    <xf numFmtId="6" fontId="8" fillId="0" borderId="0" xfId="2" applyNumberFormat="1" applyBorder="1" applyAlignment="1">
      <alignment horizontal="center"/>
    </xf>
    <xf numFmtId="0" fontId="8" fillId="0" borderId="0" xfId="2" applyFont="1" applyFill="1" applyBorder="1"/>
    <xf numFmtId="6" fontId="8" fillId="0" borderId="0" xfId="5" applyNumberFormat="1" applyFill="1" applyAlignment="1">
      <alignment horizontal="center"/>
    </xf>
    <xf numFmtId="0" fontId="14" fillId="0" borderId="12" xfId="2" applyFont="1" applyBorder="1" applyAlignment="1">
      <alignment horizontal="left"/>
    </xf>
    <xf numFmtId="6" fontId="8" fillId="0" borderId="17" xfId="2" applyNumberFormat="1" applyBorder="1" applyAlignment="1">
      <alignment horizontal="center"/>
    </xf>
    <xf numFmtId="6" fontId="8" fillId="0" borderId="14" xfId="2" applyNumberFormat="1" applyBorder="1" applyAlignment="1">
      <alignment horizontal="center"/>
    </xf>
    <xf numFmtId="0" fontId="14" fillId="0" borderId="0" xfId="2" applyFont="1" applyBorder="1" applyAlignment="1">
      <alignment horizontal="left"/>
    </xf>
    <xf numFmtId="0" fontId="8" fillId="0" borderId="0" xfId="2" applyAlignment="1">
      <alignment horizontal="center"/>
    </xf>
    <xf numFmtId="38" fontId="8" fillId="0" borderId="0" xfId="2" applyNumberFormat="1"/>
    <xf numFmtId="5" fontId="8" fillId="0" borderId="0" xfId="5" applyNumberFormat="1" applyBorder="1" applyAlignment="1">
      <alignment horizontal="center"/>
    </xf>
    <xf numFmtId="6" fontId="8" fillId="0" borderId="0" xfId="5" applyNumberFormat="1" applyBorder="1" applyAlignment="1">
      <alignment horizontal="center"/>
    </xf>
    <xf numFmtId="6" fontId="8" fillId="0" borderId="17" xfId="5" applyNumberFormat="1" applyBorder="1" applyAlignment="1">
      <alignment horizontal="center"/>
    </xf>
    <xf numFmtId="6" fontId="8" fillId="0" borderId="14" xfId="5" applyNumberFormat="1" applyBorder="1" applyAlignment="1">
      <alignment horizontal="center"/>
    </xf>
    <xf numFmtId="10" fontId="8" fillId="0" borderId="0" xfId="3" applyNumberFormat="1" applyBorder="1" applyAlignment="1">
      <alignment horizontal="center"/>
    </xf>
    <xf numFmtId="6" fontId="8" fillId="0" borderId="0" xfId="4" applyNumberFormat="1" applyAlignment="1">
      <alignment horizontal="center"/>
    </xf>
    <xf numFmtId="6" fontId="17" fillId="0" borderId="0" xfId="4" applyNumberFormat="1" applyFont="1" applyFill="1" applyAlignment="1">
      <alignment horizontal="center"/>
    </xf>
    <xf numFmtId="6" fontId="8" fillId="0" borderId="0" xfId="4" applyNumberFormat="1" applyFill="1" applyAlignment="1">
      <alignment horizontal="center"/>
    </xf>
    <xf numFmtId="6" fontId="8" fillId="0" borderId="0" xfId="2" applyNumberFormat="1" applyFill="1" applyAlignment="1">
      <alignment horizontal="center"/>
    </xf>
    <xf numFmtId="6" fontId="17" fillId="0" borderId="0" xfId="4" applyNumberFormat="1" applyFont="1" applyAlignment="1">
      <alignment horizontal="center"/>
    </xf>
    <xf numFmtId="6" fontId="8" fillId="0" borderId="0" xfId="5" applyNumberFormat="1" applyFill="1" applyBorder="1" applyAlignment="1">
      <alignment horizontal="center"/>
    </xf>
    <xf numFmtId="6" fontId="8" fillId="0" borderId="17" xfId="5" applyNumberFormat="1" applyFont="1" applyBorder="1" applyAlignment="1">
      <alignment horizontal="center"/>
    </xf>
    <xf numFmtId="6" fontId="8" fillId="0" borderId="14" xfId="5" applyNumberFormat="1" applyFont="1" applyBorder="1" applyAlignment="1">
      <alignment horizontal="center"/>
    </xf>
    <xf numFmtId="6" fontId="8" fillId="0" borderId="0" xfId="5" applyNumberFormat="1" applyFont="1" applyBorder="1" applyAlignment="1">
      <alignment horizontal="center"/>
    </xf>
    <xf numFmtId="43" fontId="14" fillId="0" borderId="0" xfId="2" applyNumberFormat="1" applyFont="1" applyAlignment="1">
      <alignment horizontal="center"/>
    </xf>
    <xf numFmtId="166" fontId="8" fillId="0" borderId="0" xfId="2" applyNumberFormat="1"/>
    <xf numFmtId="166" fontId="8" fillId="0" borderId="0" xfId="2" applyNumberFormat="1" applyFill="1"/>
    <xf numFmtId="166" fontId="8" fillId="0" borderId="0" xfId="2" applyNumberFormat="1" applyFont="1" applyFill="1" applyBorder="1" applyAlignment="1">
      <alignment horizontal="centerContinuous"/>
    </xf>
    <xf numFmtId="0" fontId="8" fillId="4" borderId="12" xfId="2" applyFill="1" applyBorder="1" applyAlignment="1">
      <alignment horizontal="center" wrapText="1"/>
    </xf>
    <xf numFmtId="9" fontId="8" fillId="0" borderId="0" xfId="3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wrapText="1"/>
    </xf>
    <xf numFmtId="0" fontId="8" fillId="6" borderId="1" xfId="2" applyFill="1" applyBorder="1"/>
    <xf numFmtId="6" fontId="8" fillId="0" borderId="15" xfId="4" applyNumberFormat="1" applyFont="1" applyBorder="1" applyAlignment="1">
      <alignment horizontal="center"/>
    </xf>
    <xf numFmtId="6" fontId="14" fillId="0" borderId="15" xfId="4" applyNumberFormat="1" applyFont="1" applyBorder="1" applyAlignment="1">
      <alignment horizontal="center"/>
    </xf>
    <xf numFmtId="5" fontId="19" fillId="0" borderId="0" xfId="4" applyNumberFormat="1" applyFont="1" applyFill="1" applyBorder="1" applyAlignment="1">
      <alignment horizontal="center"/>
    </xf>
    <xf numFmtId="165" fontId="19" fillId="0" borderId="0" xfId="3" applyNumberFormat="1" applyFont="1" applyFill="1" applyBorder="1" applyAlignment="1">
      <alignment horizontal="center"/>
    </xf>
    <xf numFmtId="0" fontId="8" fillId="6" borderId="5" xfId="2" applyFill="1" applyBorder="1"/>
    <xf numFmtId="6" fontId="8" fillId="0" borderId="18" xfId="4" applyNumberFormat="1" applyBorder="1" applyAlignment="1">
      <alignment horizontal="center"/>
    </xf>
    <xf numFmtId="37" fontId="18" fillId="0" borderId="0" xfId="6" applyNumberFormat="1" applyFont="1" applyFill="1" applyBorder="1" applyAlignment="1">
      <alignment horizontal="center"/>
    </xf>
    <xf numFmtId="168" fontId="8" fillId="0" borderId="0" xfId="4" applyNumberFormat="1" applyFont="1" applyFill="1" applyBorder="1" applyAlignment="1"/>
    <xf numFmtId="165" fontId="8" fillId="0" borderId="0" xfId="3" applyNumberFormat="1" applyFont="1" applyFill="1" applyBorder="1" applyAlignment="1">
      <alignment horizontal="center"/>
    </xf>
    <xf numFmtId="7" fontId="18" fillId="0" borderId="0" xfId="4" applyNumberFormat="1" applyFont="1" applyFill="1" applyBorder="1" applyAlignment="1">
      <alignment horizontal="center"/>
    </xf>
    <xf numFmtId="165" fontId="18" fillId="0" borderId="0" xfId="3" applyNumberFormat="1" applyFont="1" applyFill="1" applyBorder="1" applyAlignment="1">
      <alignment horizontal="center"/>
    </xf>
    <xf numFmtId="37" fontId="18" fillId="0" borderId="0" xfId="3" applyNumberFormat="1" applyFont="1" applyFill="1" applyBorder="1" applyAlignment="1">
      <alignment horizontal="center"/>
    </xf>
    <xf numFmtId="165" fontId="8" fillId="0" borderId="18" xfId="3" applyNumberFormat="1" applyBorder="1" applyAlignment="1">
      <alignment horizontal="center"/>
    </xf>
    <xf numFmtId="10" fontId="8" fillId="0" borderId="18" xfId="3" applyNumberFormat="1" applyFont="1" applyBorder="1" applyAlignment="1">
      <alignment horizontal="center"/>
    </xf>
    <xf numFmtId="166" fontId="8" fillId="0" borderId="0" xfId="5" applyNumberFormat="1" applyFill="1" applyBorder="1"/>
    <xf numFmtId="0" fontId="8" fillId="6" borderId="3" xfId="2" applyFill="1" applyBorder="1"/>
    <xf numFmtId="40" fontId="8" fillId="0" borderId="16" xfId="5" applyNumberFormat="1" applyBorder="1" applyAlignment="1">
      <alignment horizontal="center"/>
    </xf>
    <xf numFmtId="40" fontId="8" fillId="0" borderId="16" xfId="7" applyNumberFormat="1" applyFont="1" applyBorder="1" applyAlignment="1">
      <alignment horizontal="center"/>
    </xf>
    <xf numFmtId="9" fontId="8" fillId="0" borderId="0" xfId="3" applyFill="1" applyBorder="1"/>
    <xf numFmtId="0" fontId="8" fillId="0" borderId="0" xfId="5" applyNumberFormat="1" applyFont="1" applyFill="1" applyBorder="1" applyAlignment="1">
      <alignment horizontal="left"/>
    </xf>
    <xf numFmtId="0" fontId="14" fillId="0" borderId="0" xfId="2" applyFont="1" applyAlignment="1">
      <alignment vertical="center" textRotation="90" wrapText="1"/>
    </xf>
    <xf numFmtId="165" fontId="8" fillId="0" borderId="0" xfId="3" applyNumberFormat="1" applyFont="1" applyFill="1" applyBorder="1" applyAlignment="1"/>
    <xf numFmtId="42" fontId="8" fillId="0" borderId="0" xfId="8" applyFont="1" applyFill="1" applyBorder="1" applyAlignment="1"/>
    <xf numFmtId="1" fontId="8" fillId="0" borderId="0" xfId="6" applyNumberFormat="1" applyFont="1" applyFill="1" applyBorder="1" applyAlignment="1"/>
    <xf numFmtId="44" fontId="8" fillId="0" borderId="0" xfId="4" applyFill="1" applyBorder="1" applyAlignment="1">
      <alignment horizontal="center"/>
    </xf>
    <xf numFmtId="168" fontId="8" fillId="0" borderId="0" xfId="4" applyNumberFormat="1" applyFill="1" applyBorder="1" applyAlignment="1">
      <alignment horizontal="center"/>
    </xf>
    <xf numFmtId="165" fontId="8" fillId="0" borderId="0" xfId="3" applyNumberFormat="1" applyFill="1" applyBorder="1" applyAlignment="1">
      <alignment horizontal="center"/>
    </xf>
    <xf numFmtId="42" fontId="8" fillId="0" borderId="0" xfId="8" applyFont="1" applyFill="1" applyBorder="1" applyAlignment="1">
      <alignment horizontal="center"/>
    </xf>
    <xf numFmtId="0" fontId="14" fillId="4" borderId="12" xfId="2" applyFont="1" applyFill="1" applyBorder="1" applyAlignment="1">
      <alignment horizontal="center"/>
    </xf>
    <xf numFmtId="0" fontId="8" fillId="0" borderId="1" xfId="2" applyBorder="1"/>
    <xf numFmtId="5" fontId="8" fillId="0" borderId="19" xfId="2" applyNumberFormat="1" applyBorder="1" applyAlignment="1">
      <alignment horizontal="center"/>
    </xf>
    <xf numFmtId="10" fontId="8" fillId="0" borderId="5" xfId="2" applyNumberFormat="1" applyBorder="1"/>
    <xf numFmtId="5" fontId="8" fillId="0" borderId="0" xfId="2" applyNumberFormat="1" applyBorder="1" applyAlignment="1">
      <alignment horizontal="center"/>
    </xf>
    <xf numFmtId="0" fontId="8" fillId="0" borderId="3" xfId="2" applyBorder="1"/>
    <xf numFmtId="43" fontId="8" fillId="0" borderId="11" xfId="2" applyNumberFormat="1" applyBorder="1" applyAlignment="1"/>
    <xf numFmtId="37" fontId="8" fillId="0" borderId="11" xfId="2" applyNumberFormat="1" applyFont="1" applyBorder="1" applyAlignment="1">
      <alignment horizontal="center"/>
    </xf>
    <xf numFmtId="0" fontId="22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6" fillId="0" borderId="0" xfId="2" applyFont="1" applyAlignment="1">
      <alignment horizontal="left"/>
    </xf>
    <xf numFmtId="0" fontId="6" fillId="0" borderId="0" xfId="2" applyFont="1"/>
    <xf numFmtId="6" fontId="6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3" fillId="0" borderId="0" xfId="2" applyFont="1" applyAlignment="1">
      <alignment vertical="top" wrapText="1"/>
    </xf>
    <xf numFmtId="0" fontId="4" fillId="0" borderId="0" xfId="2" applyFont="1" applyBorder="1" applyAlignment="1">
      <alignment wrapText="1"/>
    </xf>
    <xf numFmtId="0" fontId="8" fillId="0" borderId="0" xfId="2" applyBorder="1" applyAlignment="1">
      <alignment wrapText="1"/>
    </xf>
    <xf numFmtId="0" fontId="4" fillId="0" borderId="0" xfId="2" quotePrefix="1" applyFont="1" applyAlignment="1">
      <alignment horizontal="center"/>
    </xf>
    <xf numFmtId="6" fontId="4" fillId="0" borderId="0" xfId="2" applyNumberFormat="1" applyFont="1"/>
    <xf numFmtId="6" fontId="6" fillId="0" borderId="0" xfId="2" applyNumberFormat="1" applyFont="1"/>
    <xf numFmtId="6" fontId="24" fillId="0" borderId="0" xfId="2" applyNumberFormat="1" applyFont="1"/>
    <xf numFmtId="6" fontId="25" fillId="0" borderId="0" xfId="2" applyNumberFormat="1" applyFont="1"/>
    <xf numFmtId="6" fontId="26" fillId="0" borderId="0" xfId="2" applyNumberFormat="1" applyFont="1"/>
    <xf numFmtId="6" fontId="27" fillId="0" borderId="0" xfId="2" applyNumberFormat="1" applyFont="1"/>
    <xf numFmtId="0" fontId="5" fillId="0" borderId="0" xfId="2" applyFont="1"/>
    <xf numFmtId="10" fontId="3" fillId="0" borderId="7" xfId="3" applyNumberFormat="1" applyFont="1" applyBorder="1" applyAlignment="1">
      <alignment horizontal="center"/>
    </xf>
    <xf numFmtId="8" fontId="28" fillId="0" borderId="0" xfId="2" applyNumberFormat="1" applyFont="1"/>
    <xf numFmtId="0" fontId="4" fillId="0" borderId="0" xfId="2" applyFont="1" applyAlignment="1">
      <alignment horizontal="right"/>
    </xf>
    <xf numFmtId="8" fontId="4" fillId="0" borderId="0" xfId="2" applyNumberFormat="1" applyFont="1"/>
    <xf numFmtId="0" fontId="30" fillId="0" borderId="0" xfId="13" applyFont="1" applyAlignment="1">
      <alignment vertical="center"/>
    </xf>
    <xf numFmtId="0" fontId="30" fillId="0" borderId="0" xfId="13" applyFont="1" applyAlignment="1">
      <alignment horizontal="center" vertical="center"/>
    </xf>
    <xf numFmtId="0" fontId="9" fillId="0" borderId="0" xfId="13" applyFont="1" applyAlignment="1">
      <alignment vertical="center" wrapText="1"/>
    </xf>
    <xf numFmtId="0" fontId="9" fillId="0" borderId="0" xfId="13" applyFont="1" applyAlignment="1">
      <alignment horizontal="center" vertical="center" wrapText="1"/>
    </xf>
    <xf numFmtId="0" fontId="9" fillId="0" borderId="0" xfId="13" applyNumberFormat="1" applyFont="1" applyAlignment="1">
      <alignment horizontal="center" vertical="center"/>
    </xf>
    <xf numFmtId="164" fontId="9" fillId="0" borderId="0" xfId="14" applyNumberFormat="1" applyFont="1" applyAlignment="1">
      <alignment horizontal="center" vertical="center"/>
    </xf>
    <xf numFmtId="0" fontId="9" fillId="0" borderId="0" xfId="13" applyFont="1" applyAlignment="1">
      <alignment horizontal="center" vertical="center"/>
    </xf>
    <xf numFmtId="0" fontId="9" fillId="0" borderId="0" xfId="13" applyFont="1" applyAlignment="1">
      <alignment horizontal="left" vertical="center" indent="1"/>
    </xf>
    <xf numFmtId="14" fontId="9" fillId="0" borderId="0" xfId="13" applyNumberFormat="1" applyFont="1" applyAlignment="1">
      <alignment horizontal="center" vertical="center"/>
    </xf>
    <xf numFmtId="0" fontId="9" fillId="0" borderId="0" xfId="13" applyFont="1" applyAlignment="1">
      <alignment vertical="center"/>
    </xf>
    <xf numFmtId="0" fontId="30" fillId="0" borderId="0" xfId="13" applyFont="1" applyAlignment="1">
      <alignment horizontal="center" vertical="center" wrapText="1"/>
    </xf>
    <xf numFmtId="0" fontId="30" fillId="0" borderId="16" xfId="13" applyFont="1" applyBorder="1" applyAlignment="1">
      <alignment horizontal="center" vertical="center" wrapText="1"/>
    </xf>
    <xf numFmtId="0" fontId="9" fillId="0" borderId="12" xfId="13" applyFont="1" applyBorder="1" applyAlignment="1">
      <alignment horizontal="center" vertical="center"/>
    </xf>
    <xf numFmtId="0" fontId="9" fillId="0" borderId="12" xfId="13" applyFont="1" applyBorder="1" applyAlignment="1">
      <alignment vertical="center" wrapText="1"/>
    </xf>
    <xf numFmtId="0" fontId="9" fillId="0" borderId="12" xfId="13" applyFont="1" applyBorder="1" applyAlignment="1">
      <alignment horizontal="center" vertical="center" wrapText="1"/>
    </xf>
    <xf numFmtId="0" fontId="9" fillId="0" borderId="16" xfId="13" applyNumberFormat="1" applyFont="1" applyBorder="1" applyAlignment="1">
      <alignment horizontal="center" vertical="center" wrapText="1"/>
    </xf>
    <xf numFmtId="164" fontId="9" fillId="0" borderId="16" xfId="14" applyNumberFormat="1" applyFont="1" applyBorder="1" applyAlignment="1">
      <alignment horizontal="center" vertical="center" wrapText="1"/>
    </xf>
    <xf numFmtId="0" fontId="9" fillId="0" borderId="16" xfId="13" applyFont="1" applyBorder="1" applyAlignment="1">
      <alignment horizontal="center" vertical="center" wrapText="1"/>
    </xf>
    <xf numFmtId="0" fontId="30" fillId="0" borderId="16" xfId="13" applyFont="1" applyBorder="1" applyAlignment="1">
      <alignment horizontal="left" vertical="center" wrapText="1" indent="1"/>
    </xf>
    <xf numFmtId="14" fontId="9" fillId="0" borderId="16" xfId="13" applyNumberFormat="1" applyFont="1" applyBorder="1" applyAlignment="1">
      <alignment horizontal="center" vertical="center" wrapText="1"/>
    </xf>
    <xf numFmtId="0" fontId="30" fillId="0" borderId="0" xfId="13" applyFont="1" applyFill="1" applyAlignment="1">
      <alignment horizontal="center" vertical="center" wrapText="1"/>
    </xf>
    <xf numFmtId="0" fontId="9" fillId="0" borderId="12" xfId="13" applyFont="1" applyFill="1" applyBorder="1" applyAlignment="1">
      <alignment horizontal="center" vertical="center"/>
    </xf>
    <xf numFmtId="0" fontId="9" fillId="0" borderId="12" xfId="13" applyFont="1" applyFill="1" applyBorder="1" applyAlignment="1">
      <alignment vertical="center" wrapText="1"/>
    </xf>
    <xf numFmtId="0" fontId="9" fillId="0" borderId="12" xfId="13" applyFont="1" applyFill="1" applyBorder="1" applyAlignment="1">
      <alignment horizontal="center" vertical="center" wrapText="1"/>
    </xf>
    <xf numFmtId="0" fontId="9" fillId="0" borderId="16" xfId="13" applyNumberFormat="1" applyFont="1" applyFill="1" applyBorder="1" applyAlignment="1">
      <alignment horizontal="center" vertical="center" wrapText="1"/>
    </xf>
    <xf numFmtId="164" fontId="9" fillId="0" borderId="16" xfId="14" applyNumberFormat="1" applyFont="1" applyFill="1" applyBorder="1" applyAlignment="1">
      <alignment horizontal="center" vertical="center" wrapText="1"/>
    </xf>
    <xf numFmtId="165" fontId="9" fillId="0" borderId="16" xfId="15" applyNumberFormat="1" applyFont="1" applyFill="1" applyBorder="1" applyAlignment="1">
      <alignment horizontal="center" vertical="center" wrapText="1"/>
    </xf>
    <xf numFmtId="0" fontId="9" fillId="0" borderId="16" xfId="13" applyFont="1" applyFill="1" applyBorder="1" applyAlignment="1">
      <alignment horizontal="left" vertical="center" wrapText="1" indent="1"/>
    </xf>
    <xf numFmtId="14" fontId="9" fillId="0" borderId="16" xfId="13" applyNumberFormat="1" applyFont="1" applyFill="1" applyBorder="1" applyAlignment="1">
      <alignment horizontal="center" vertical="center" wrapText="1"/>
    </xf>
    <xf numFmtId="0" fontId="9" fillId="0" borderId="0" xfId="13" applyFont="1" applyFill="1" applyAlignment="1">
      <alignment vertical="center"/>
    </xf>
    <xf numFmtId="0" fontId="9" fillId="0" borderId="12" xfId="13" applyNumberFormat="1" applyFont="1" applyFill="1" applyBorder="1" applyAlignment="1">
      <alignment horizontal="center" vertical="center"/>
    </xf>
    <xf numFmtId="164" fontId="9" fillId="0" borderId="12" xfId="14" applyNumberFormat="1" applyFont="1" applyFill="1" applyBorder="1" applyAlignment="1">
      <alignment horizontal="center" vertical="center"/>
    </xf>
    <xf numFmtId="165" fontId="9" fillId="0" borderId="12" xfId="15" applyNumberFormat="1" applyFont="1" applyFill="1" applyBorder="1" applyAlignment="1">
      <alignment horizontal="center" vertical="center"/>
    </xf>
    <xf numFmtId="0" fontId="9" fillId="0" borderId="12" xfId="13" applyFont="1" applyFill="1" applyBorder="1" applyAlignment="1">
      <alignment horizontal="left" vertical="center" indent="1"/>
    </xf>
    <xf numFmtId="14" fontId="9" fillId="0" borderId="12" xfId="13" applyNumberFormat="1" applyFont="1" applyFill="1" applyBorder="1" applyAlignment="1">
      <alignment horizontal="center" vertical="center"/>
    </xf>
    <xf numFmtId="0" fontId="9" fillId="7" borderId="12" xfId="13" applyFont="1" applyFill="1" applyBorder="1" applyAlignment="1">
      <alignment horizontal="center" vertical="center"/>
    </xf>
    <xf numFmtId="0" fontId="9" fillId="7" borderId="12" xfId="13" applyFont="1" applyFill="1" applyBorder="1" applyAlignment="1">
      <alignment vertical="center" wrapText="1"/>
    </xf>
    <xf numFmtId="0" fontId="9" fillId="7" borderId="12" xfId="13" applyFont="1" applyFill="1" applyBorder="1" applyAlignment="1">
      <alignment horizontal="center" vertical="center" wrapText="1"/>
    </xf>
    <xf numFmtId="0" fontId="9" fillId="7" borderId="16" xfId="13" applyNumberFormat="1" applyFont="1" applyFill="1" applyBorder="1" applyAlignment="1">
      <alignment horizontal="center" vertical="center" wrapText="1"/>
    </xf>
    <xf numFmtId="164" fontId="9" fillId="7" borderId="16" xfId="14" applyNumberFormat="1" applyFont="1" applyFill="1" applyBorder="1" applyAlignment="1">
      <alignment horizontal="center" vertical="center" wrapText="1"/>
    </xf>
    <xf numFmtId="165" fontId="9" fillId="7" borderId="16" xfId="15" applyNumberFormat="1" applyFont="1" applyFill="1" applyBorder="1" applyAlignment="1">
      <alignment horizontal="center" vertical="center" wrapText="1"/>
    </xf>
    <xf numFmtId="0" fontId="9" fillId="7" borderId="16" xfId="13" applyFont="1" applyFill="1" applyBorder="1" applyAlignment="1">
      <alignment horizontal="left" vertical="center" wrapText="1" indent="1"/>
    </xf>
    <xf numFmtId="14" fontId="9" fillId="7" borderId="16" xfId="13" applyNumberFormat="1" applyFont="1" applyFill="1" applyBorder="1" applyAlignment="1">
      <alignment horizontal="center" vertical="center" wrapText="1"/>
    </xf>
    <xf numFmtId="14" fontId="9" fillId="7" borderId="12" xfId="13" applyNumberFormat="1" applyFont="1" applyFill="1" applyBorder="1" applyAlignment="1">
      <alignment horizontal="center" vertical="center"/>
    </xf>
    <xf numFmtId="164" fontId="9" fillId="7" borderId="12" xfId="14" applyNumberFormat="1" applyFont="1" applyFill="1" applyBorder="1" applyAlignment="1">
      <alignment horizontal="center" vertical="center"/>
    </xf>
    <xf numFmtId="0" fontId="9" fillId="7" borderId="12" xfId="13" applyNumberFormat="1" applyFont="1" applyFill="1" applyBorder="1" applyAlignment="1">
      <alignment horizontal="center" vertical="center"/>
    </xf>
    <xf numFmtId="165" fontId="9" fillId="7" borderId="12" xfId="15" applyNumberFormat="1" applyFont="1" applyFill="1" applyBorder="1" applyAlignment="1">
      <alignment horizontal="center" vertical="center"/>
    </xf>
    <xf numFmtId="0" fontId="9" fillId="7" borderId="12" xfId="13" applyFont="1" applyFill="1" applyBorder="1" applyAlignment="1">
      <alignment horizontal="left" vertical="center" indent="1"/>
    </xf>
    <xf numFmtId="0" fontId="9" fillId="8" borderId="12" xfId="13" applyFont="1" applyFill="1" applyBorder="1" applyAlignment="1">
      <alignment horizontal="center" vertical="center"/>
    </xf>
    <xf numFmtId="0" fontId="9" fillId="8" borderId="12" xfId="13" applyFont="1" applyFill="1" applyBorder="1" applyAlignment="1">
      <alignment vertical="center" wrapText="1"/>
    </xf>
    <xf numFmtId="0" fontId="9" fillId="8" borderId="12" xfId="13" applyFont="1" applyFill="1" applyBorder="1" applyAlignment="1">
      <alignment horizontal="center" vertical="center" wrapText="1"/>
    </xf>
    <xf numFmtId="0" fontId="9" fillId="8" borderId="16" xfId="13" applyNumberFormat="1" applyFont="1" applyFill="1" applyBorder="1" applyAlignment="1">
      <alignment horizontal="center" vertical="center" wrapText="1"/>
    </xf>
    <xf numFmtId="164" fontId="9" fillId="8" borderId="16" xfId="14" applyNumberFormat="1" applyFont="1" applyFill="1" applyBorder="1" applyAlignment="1">
      <alignment horizontal="center" vertical="center" wrapText="1"/>
    </xf>
    <xf numFmtId="165" fontId="9" fillId="8" borderId="16" xfId="15" applyNumberFormat="1" applyFont="1" applyFill="1" applyBorder="1" applyAlignment="1">
      <alignment horizontal="center" vertical="center" wrapText="1"/>
    </xf>
    <xf numFmtId="0" fontId="9" fillId="8" borderId="16" xfId="13" applyFont="1" applyFill="1" applyBorder="1" applyAlignment="1">
      <alignment horizontal="left" vertical="center" wrapText="1" indent="1"/>
    </xf>
    <xf numFmtId="14" fontId="9" fillId="8" borderId="16" xfId="13" applyNumberFormat="1" applyFont="1" applyFill="1" applyBorder="1" applyAlignment="1">
      <alignment horizontal="center" vertical="center" wrapText="1"/>
    </xf>
    <xf numFmtId="0" fontId="9" fillId="9" borderId="12" xfId="13" applyFont="1" applyFill="1" applyBorder="1" applyAlignment="1">
      <alignment horizontal="center" vertical="center"/>
    </xf>
    <xf numFmtId="0" fontId="9" fillId="9" borderId="12" xfId="13" applyFont="1" applyFill="1" applyBorder="1" applyAlignment="1">
      <alignment vertical="center" wrapText="1"/>
    </xf>
    <xf numFmtId="0" fontId="9" fillId="9" borderId="12" xfId="13" applyFont="1" applyFill="1" applyBorder="1" applyAlignment="1">
      <alignment horizontal="center" vertical="center" wrapText="1"/>
    </xf>
    <xf numFmtId="0" fontId="9" fillId="9" borderId="16" xfId="13" applyNumberFormat="1" applyFont="1" applyFill="1" applyBorder="1" applyAlignment="1">
      <alignment horizontal="center" vertical="center" wrapText="1"/>
    </xf>
    <xf numFmtId="164" fontId="9" fillId="9" borderId="16" xfId="14" applyNumberFormat="1" applyFont="1" applyFill="1" applyBorder="1" applyAlignment="1">
      <alignment horizontal="center" vertical="center" wrapText="1"/>
    </xf>
    <xf numFmtId="165" fontId="9" fillId="9" borderId="16" xfId="15" applyNumberFormat="1" applyFont="1" applyFill="1" applyBorder="1" applyAlignment="1">
      <alignment horizontal="center" vertical="center" wrapText="1"/>
    </xf>
    <xf numFmtId="0" fontId="9" fillId="9" borderId="16" xfId="13" applyFont="1" applyFill="1" applyBorder="1" applyAlignment="1">
      <alignment horizontal="left" vertical="center" wrapText="1" indent="1"/>
    </xf>
    <xf numFmtId="14" fontId="9" fillId="9" borderId="16" xfId="13" applyNumberFormat="1" applyFont="1" applyFill="1" applyBorder="1" applyAlignment="1">
      <alignment horizontal="center" vertical="center" wrapText="1"/>
    </xf>
    <xf numFmtId="0" fontId="9" fillId="9" borderId="12" xfId="13" applyFont="1" applyFill="1" applyBorder="1" applyAlignment="1">
      <alignment horizontal="left" vertical="center" indent="1"/>
    </xf>
    <xf numFmtId="0" fontId="9" fillId="9" borderId="12" xfId="13" applyNumberFormat="1" applyFont="1" applyFill="1" applyBorder="1" applyAlignment="1">
      <alignment horizontal="center" vertical="center"/>
    </xf>
    <xf numFmtId="164" fontId="9" fillId="9" borderId="12" xfId="14" applyNumberFormat="1" applyFont="1" applyFill="1" applyBorder="1" applyAlignment="1">
      <alignment horizontal="center" vertical="center"/>
    </xf>
    <xf numFmtId="165" fontId="9" fillId="9" borderId="12" xfId="15" applyNumberFormat="1" applyFont="1" applyFill="1" applyBorder="1" applyAlignment="1">
      <alignment horizontal="center" vertical="center"/>
    </xf>
    <xf numFmtId="14" fontId="9" fillId="9" borderId="12" xfId="13" applyNumberFormat="1" applyFont="1" applyFill="1" applyBorder="1" applyAlignment="1">
      <alignment horizontal="center" vertical="center"/>
    </xf>
    <xf numFmtId="0" fontId="9" fillId="10" borderId="12" xfId="13" applyFont="1" applyFill="1" applyBorder="1" applyAlignment="1">
      <alignment horizontal="center" vertical="center"/>
    </xf>
    <xf numFmtId="0" fontId="9" fillId="10" borderId="12" xfId="13" applyFont="1" applyFill="1" applyBorder="1" applyAlignment="1">
      <alignment vertical="center" wrapText="1"/>
    </xf>
    <xf numFmtId="0" fontId="9" fillId="10" borderId="12" xfId="13" applyFont="1" applyFill="1" applyBorder="1" applyAlignment="1">
      <alignment horizontal="center" vertical="center" wrapText="1"/>
    </xf>
    <xf numFmtId="0" fontId="9" fillId="10" borderId="12" xfId="13" applyNumberFormat="1" applyFont="1" applyFill="1" applyBorder="1" applyAlignment="1">
      <alignment horizontal="center" vertical="center"/>
    </xf>
    <xf numFmtId="164" fontId="9" fillId="10" borderId="12" xfId="14" applyNumberFormat="1" applyFont="1" applyFill="1" applyBorder="1" applyAlignment="1">
      <alignment horizontal="center" vertical="center"/>
    </xf>
    <xf numFmtId="165" fontId="9" fillId="10" borderId="12" xfId="15" applyNumberFormat="1" applyFont="1" applyFill="1" applyBorder="1" applyAlignment="1">
      <alignment horizontal="center" vertical="center"/>
    </xf>
    <xf numFmtId="0" fontId="32" fillId="10" borderId="12" xfId="13" applyFont="1" applyFill="1" applyBorder="1" applyAlignment="1">
      <alignment horizontal="left" vertical="center" indent="1"/>
    </xf>
    <xf numFmtId="14" fontId="9" fillId="10" borderId="12" xfId="13" applyNumberFormat="1" applyFont="1" applyFill="1" applyBorder="1" applyAlignment="1">
      <alignment horizontal="center" vertical="center"/>
    </xf>
    <xf numFmtId="165" fontId="9" fillId="10" borderId="20" xfId="15" applyNumberFormat="1" applyFont="1" applyFill="1" applyBorder="1" applyAlignment="1">
      <alignment horizontal="center" vertical="center"/>
    </xf>
    <xf numFmtId="0" fontId="9" fillId="10" borderId="16" xfId="13" applyNumberFormat="1" applyFont="1" applyFill="1" applyBorder="1" applyAlignment="1">
      <alignment horizontal="center" vertical="center" wrapText="1"/>
    </xf>
    <xf numFmtId="164" fontId="9" fillId="10" borderId="16" xfId="14" applyNumberFormat="1" applyFont="1" applyFill="1" applyBorder="1" applyAlignment="1">
      <alignment horizontal="center" vertical="center" wrapText="1"/>
    </xf>
    <xf numFmtId="165" fontId="9" fillId="10" borderId="16" xfId="15" applyNumberFormat="1" applyFont="1" applyFill="1" applyBorder="1" applyAlignment="1">
      <alignment horizontal="center" vertical="center" wrapText="1"/>
    </xf>
    <xf numFmtId="0" fontId="32" fillId="10" borderId="16" xfId="13" applyFont="1" applyFill="1" applyBorder="1" applyAlignment="1">
      <alignment horizontal="left" vertical="center" wrapText="1" indent="1"/>
    </xf>
    <xf numFmtId="14" fontId="9" fillId="10" borderId="16" xfId="13" applyNumberFormat="1" applyFont="1" applyFill="1" applyBorder="1" applyAlignment="1">
      <alignment horizontal="center" vertical="center" wrapText="1"/>
    </xf>
    <xf numFmtId="0" fontId="9" fillId="11" borderId="12" xfId="13" applyFont="1" applyFill="1" applyBorder="1" applyAlignment="1">
      <alignment horizontal="center" vertical="center"/>
    </xf>
    <xf numFmtId="0" fontId="9" fillId="11" borderId="12" xfId="13" applyFont="1" applyFill="1" applyBorder="1" applyAlignment="1">
      <alignment vertical="center" wrapText="1"/>
    </xf>
    <xf numFmtId="0" fontId="9" fillId="11" borderId="12" xfId="13" applyFont="1" applyFill="1" applyBorder="1" applyAlignment="1">
      <alignment horizontal="center" vertical="center" wrapText="1"/>
    </xf>
    <xf numFmtId="0" fontId="9" fillId="11" borderId="16" xfId="13" applyNumberFormat="1" applyFont="1" applyFill="1" applyBorder="1" applyAlignment="1">
      <alignment horizontal="center" vertical="center" wrapText="1"/>
    </xf>
    <xf numFmtId="164" fontId="9" fillId="11" borderId="16" xfId="14" applyNumberFormat="1" applyFont="1" applyFill="1" applyBorder="1" applyAlignment="1">
      <alignment horizontal="center" vertical="center" wrapText="1"/>
    </xf>
    <xf numFmtId="165" fontId="9" fillId="11" borderId="16" xfId="15" applyNumberFormat="1" applyFont="1" applyFill="1" applyBorder="1" applyAlignment="1">
      <alignment horizontal="center" vertical="center" wrapText="1"/>
    </xf>
    <xf numFmtId="0" fontId="9" fillId="11" borderId="16" xfId="13" applyFont="1" applyFill="1" applyBorder="1" applyAlignment="1">
      <alignment horizontal="left" vertical="center" wrapText="1" indent="1"/>
    </xf>
    <xf numFmtId="14" fontId="9" fillId="11" borderId="16" xfId="13" applyNumberFormat="1" applyFont="1" applyFill="1" applyBorder="1" applyAlignment="1">
      <alignment horizontal="center" vertical="center" wrapText="1"/>
    </xf>
    <xf numFmtId="0" fontId="9" fillId="11" borderId="12" xfId="13" applyNumberFormat="1" applyFont="1" applyFill="1" applyBorder="1" applyAlignment="1">
      <alignment horizontal="center" vertical="center"/>
    </xf>
    <xf numFmtId="164" fontId="9" fillId="11" borderId="12" xfId="14" applyNumberFormat="1" applyFont="1" applyFill="1" applyBorder="1" applyAlignment="1">
      <alignment horizontal="center" vertical="center"/>
    </xf>
    <xf numFmtId="165" fontId="9" fillId="11" borderId="12" xfId="15" applyNumberFormat="1" applyFont="1" applyFill="1" applyBorder="1" applyAlignment="1">
      <alignment horizontal="center" vertical="center"/>
    </xf>
    <xf numFmtId="0" fontId="9" fillId="11" borderId="12" xfId="13" applyFont="1" applyFill="1" applyBorder="1" applyAlignment="1">
      <alignment horizontal="left" vertical="center" indent="1"/>
    </xf>
    <xf numFmtId="14" fontId="9" fillId="11" borderId="12" xfId="13" applyNumberFormat="1" applyFont="1" applyFill="1" applyBorder="1" applyAlignment="1">
      <alignment horizontal="center" vertical="center"/>
    </xf>
    <xf numFmtId="14" fontId="9" fillId="11" borderId="16" xfId="13" applyNumberFormat="1" applyFont="1" applyFill="1" applyBorder="1" applyAlignment="1">
      <alignment horizontal="left" vertical="center"/>
    </xf>
    <xf numFmtId="0" fontId="9" fillId="11" borderId="12" xfId="13" applyNumberFormat="1" applyFont="1" applyFill="1" applyBorder="1" applyAlignment="1">
      <alignment horizontal="center" vertical="center" wrapText="1"/>
    </xf>
    <xf numFmtId="164" fontId="9" fillId="11" borderId="12" xfId="14" applyNumberFormat="1" applyFont="1" applyFill="1" applyBorder="1" applyAlignment="1">
      <alignment horizontal="center" vertical="center" wrapText="1"/>
    </xf>
    <xf numFmtId="165" fontId="9" fillId="11" borderId="12" xfId="15" applyNumberFormat="1" applyFont="1" applyFill="1" applyBorder="1" applyAlignment="1">
      <alignment horizontal="center" vertical="center" wrapText="1"/>
    </xf>
    <xf numFmtId="0" fontId="9" fillId="11" borderId="12" xfId="13" applyFont="1" applyFill="1" applyBorder="1" applyAlignment="1">
      <alignment horizontal="left" vertical="center" wrapText="1" indent="1"/>
    </xf>
    <xf numFmtId="14" fontId="9" fillId="11" borderId="12" xfId="13" applyNumberFormat="1" applyFont="1" applyFill="1" applyBorder="1" applyAlignment="1">
      <alignment horizontal="center" vertical="center" wrapText="1"/>
    </xf>
    <xf numFmtId="0" fontId="9" fillId="0" borderId="0" xfId="13" applyFont="1" applyFill="1" applyBorder="1" applyAlignment="1">
      <alignment horizontal="center" vertical="center"/>
    </xf>
    <xf numFmtId="0" fontId="9" fillId="0" borderId="0" xfId="13" applyFont="1" applyFill="1" applyBorder="1" applyAlignment="1">
      <alignment vertical="center" wrapText="1"/>
    </xf>
    <xf numFmtId="0" fontId="9" fillId="0" borderId="0" xfId="13" applyFont="1" applyFill="1" applyBorder="1" applyAlignment="1">
      <alignment horizontal="center" vertical="center" wrapText="1"/>
    </xf>
    <xf numFmtId="0" fontId="9" fillId="0" borderId="0" xfId="13" applyNumberFormat="1" applyFont="1" applyFill="1" applyBorder="1" applyAlignment="1">
      <alignment horizontal="center" vertical="center" wrapText="1"/>
    </xf>
    <xf numFmtId="164" fontId="9" fillId="0" borderId="0" xfId="14" applyNumberFormat="1" applyFont="1" applyFill="1" applyBorder="1" applyAlignment="1">
      <alignment horizontal="center" vertical="center" wrapText="1"/>
    </xf>
    <xf numFmtId="165" fontId="9" fillId="0" borderId="0" xfId="15" applyNumberFormat="1" applyFont="1" applyFill="1" applyBorder="1" applyAlignment="1">
      <alignment horizontal="center" vertical="center" wrapText="1"/>
    </xf>
    <xf numFmtId="0" fontId="9" fillId="0" borderId="0" xfId="13" applyFont="1" applyFill="1" applyBorder="1" applyAlignment="1">
      <alignment horizontal="left" vertical="center" wrapText="1" indent="1"/>
    </xf>
    <xf numFmtId="14" fontId="9" fillId="0" borderId="0" xfId="13" applyNumberFormat="1" applyFont="1" applyFill="1" applyBorder="1" applyAlignment="1">
      <alignment horizontal="center" vertical="center" wrapText="1"/>
    </xf>
    <xf numFmtId="0" fontId="30" fillId="0" borderId="0" xfId="13" applyFont="1" applyFill="1" applyBorder="1" applyAlignment="1">
      <alignment horizontal="center" vertical="center" wrapText="1"/>
    </xf>
    <xf numFmtId="0" fontId="30" fillId="0" borderId="0" xfId="13" applyFont="1" applyFill="1" applyBorder="1" applyAlignment="1">
      <alignment horizontal="right" vertical="center"/>
    </xf>
    <xf numFmtId="0" fontId="9" fillId="7" borderId="12" xfId="13" applyNumberFormat="1" applyFont="1" applyFill="1" applyBorder="1" applyAlignment="1">
      <alignment horizontal="center" vertical="center" wrapText="1"/>
    </xf>
    <xf numFmtId="164" fontId="9" fillId="0" borderId="0" xfId="14" applyNumberFormat="1" applyFont="1" applyFill="1" applyBorder="1" applyAlignment="1">
      <alignment horizontal="left" vertical="center"/>
    </xf>
    <xf numFmtId="0" fontId="30" fillId="0" borderId="0" xfId="13" applyFont="1" applyFill="1" applyBorder="1" applyAlignment="1">
      <alignment horizontal="center" vertical="center"/>
    </xf>
    <xf numFmtId="0" fontId="9" fillId="9" borderId="12" xfId="13" applyNumberFormat="1" applyFont="1" applyFill="1" applyBorder="1" applyAlignment="1">
      <alignment horizontal="center" vertical="center" wrapText="1"/>
    </xf>
    <xf numFmtId="0" fontId="9" fillId="0" borderId="16" xfId="13" applyFont="1" applyBorder="1" applyAlignment="1">
      <alignment horizontal="center" vertical="center"/>
    </xf>
    <xf numFmtId="0" fontId="9" fillId="0" borderId="16" xfId="13" applyFont="1" applyBorder="1" applyAlignment="1">
      <alignment vertical="center" wrapText="1"/>
    </xf>
    <xf numFmtId="0" fontId="9" fillId="0" borderId="16" xfId="13" applyNumberFormat="1" applyFont="1" applyBorder="1" applyAlignment="1">
      <alignment horizontal="center" vertical="center"/>
    </xf>
    <xf numFmtId="164" fontId="9" fillId="0" borderId="16" xfId="14" applyNumberFormat="1" applyFont="1" applyBorder="1" applyAlignment="1">
      <alignment horizontal="center" vertical="center"/>
    </xf>
    <xf numFmtId="165" fontId="9" fillId="0" borderId="16" xfId="15" applyNumberFormat="1" applyFont="1" applyBorder="1" applyAlignment="1">
      <alignment horizontal="center" vertical="center"/>
    </xf>
    <xf numFmtId="0" fontId="9" fillId="0" borderId="16" xfId="13" applyFont="1" applyBorder="1" applyAlignment="1">
      <alignment horizontal="left" vertical="center" indent="1"/>
    </xf>
    <xf numFmtId="14" fontId="9" fillId="0" borderId="16" xfId="13" applyNumberFormat="1" applyFont="1" applyBorder="1" applyAlignment="1">
      <alignment horizontal="center" vertical="center"/>
    </xf>
    <xf numFmtId="0" fontId="9" fillId="0" borderId="12" xfId="13" applyNumberFormat="1" applyFont="1" applyBorder="1" applyAlignment="1">
      <alignment horizontal="center" vertical="center"/>
    </xf>
    <xf numFmtId="164" fontId="9" fillId="0" borderId="12" xfId="14" applyNumberFormat="1" applyFont="1" applyBorder="1" applyAlignment="1">
      <alignment horizontal="center" vertical="center"/>
    </xf>
    <xf numFmtId="165" fontId="9" fillId="0" borderId="12" xfId="15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left" vertical="center" indent="1"/>
    </xf>
    <xf numFmtId="14" fontId="9" fillId="0" borderId="12" xfId="13" applyNumberFormat="1" applyFont="1" applyBorder="1" applyAlignment="1">
      <alignment horizontal="center" vertical="center"/>
    </xf>
    <xf numFmtId="0" fontId="33" fillId="0" borderId="0" xfId="13" applyFont="1" applyFill="1" applyAlignment="1">
      <alignment vertical="center"/>
    </xf>
    <xf numFmtId="0" fontId="34" fillId="0" borderId="0" xfId="13" applyFont="1" applyAlignment="1">
      <alignment vertical="center"/>
    </xf>
    <xf numFmtId="0" fontId="33" fillId="0" borderId="0" xfId="13" applyFont="1" applyAlignment="1">
      <alignment vertical="center"/>
    </xf>
    <xf numFmtId="0" fontId="33" fillId="0" borderId="0" xfId="13" applyFont="1" applyAlignment="1">
      <alignment horizontal="center" vertical="center"/>
    </xf>
    <xf numFmtId="0" fontId="34" fillId="0" borderId="0" xfId="13" applyFont="1" applyBorder="1" applyAlignment="1">
      <alignment vertical="center"/>
    </xf>
    <xf numFmtId="0" fontId="34" fillId="0" borderId="0" xfId="13" applyFont="1" applyBorder="1" applyAlignment="1">
      <alignment horizontal="center" vertical="center"/>
    </xf>
    <xf numFmtId="9" fontId="33" fillId="0" borderId="0" xfId="16" applyFont="1" applyAlignment="1">
      <alignment vertical="center"/>
    </xf>
    <xf numFmtId="0" fontId="34" fillId="0" borderId="17" xfId="13" applyFont="1" applyBorder="1" applyAlignment="1">
      <alignment vertical="center"/>
    </xf>
    <xf numFmtId="0" fontId="34" fillId="0" borderId="15" xfId="13" applyFont="1" applyBorder="1" applyAlignment="1">
      <alignment vertical="center"/>
    </xf>
    <xf numFmtId="9" fontId="34" fillId="0" borderId="19" xfId="16" applyFont="1" applyBorder="1" applyAlignment="1">
      <alignment vertical="center"/>
    </xf>
    <xf numFmtId="0" fontId="34" fillId="0" borderId="2" xfId="13" applyFont="1" applyBorder="1" applyAlignment="1">
      <alignment vertical="center"/>
    </xf>
    <xf numFmtId="0" fontId="34" fillId="0" borderId="19" xfId="13" applyFont="1" applyBorder="1" applyAlignment="1">
      <alignment horizontal="center" vertical="center" wrapText="1"/>
    </xf>
    <xf numFmtId="0" fontId="34" fillId="0" borderId="17" xfId="13" applyFont="1" applyFill="1" applyBorder="1" applyAlignment="1">
      <alignment vertical="center"/>
    </xf>
    <xf numFmtId="0" fontId="34" fillId="0" borderId="14" xfId="13" applyFont="1" applyFill="1" applyBorder="1" applyAlignment="1">
      <alignment vertical="center"/>
    </xf>
    <xf numFmtId="0" fontId="34" fillId="0" borderId="5" xfId="13" applyFont="1" applyBorder="1" applyAlignment="1">
      <alignment horizontal="center" vertical="center" wrapText="1"/>
    </xf>
    <xf numFmtId="0" fontId="34" fillId="0" borderId="5" xfId="13" applyFont="1" applyBorder="1" applyAlignment="1">
      <alignment horizontal="center" vertical="center"/>
    </xf>
    <xf numFmtId="0" fontId="34" fillId="0" borderId="18" xfId="13" applyFont="1" applyBorder="1" applyAlignment="1">
      <alignment vertical="center"/>
    </xf>
    <xf numFmtId="0" fontId="34" fillId="0" borderId="6" xfId="13" applyFont="1" applyBorder="1" applyAlignment="1">
      <alignment horizontal="center" vertical="center" wrapText="1"/>
    </xf>
    <xf numFmtId="0" fontId="34" fillId="0" borderId="3" xfId="13" applyFont="1" applyBorder="1" applyAlignment="1">
      <alignment vertical="center"/>
    </xf>
    <xf numFmtId="0" fontId="34" fillId="0" borderId="4" xfId="13" applyFont="1" applyBorder="1" applyAlignment="1">
      <alignment vertical="center"/>
    </xf>
    <xf numFmtId="0" fontId="33" fillId="0" borderId="0" xfId="13" applyFont="1" applyAlignment="1">
      <alignment vertical="center" wrapText="1"/>
    </xf>
    <xf numFmtId="0" fontId="33" fillId="0" borderId="0" xfId="13" applyFont="1" applyFill="1" applyAlignment="1">
      <alignment vertical="center" wrapText="1"/>
    </xf>
    <xf numFmtId="0" fontId="34" fillId="0" borderId="18" xfId="13" applyFont="1" applyBorder="1" applyAlignment="1">
      <alignment horizontal="center" vertical="center" wrapText="1"/>
    </xf>
    <xf numFmtId="0" fontId="34" fillId="0" borderId="16" xfId="13" applyFont="1" applyBorder="1" applyAlignment="1">
      <alignment horizontal="center" wrapText="1"/>
    </xf>
    <xf numFmtId="0" fontId="34" fillId="0" borderId="3" xfId="13" applyFont="1" applyBorder="1" applyAlignment="1">
      <alignment horizontal="center" wrapText="1"/>
    </xf>
    <xf numFmtId="0" fontId="34" fillId="0" borderId="16" xfId="13" applyFont="1" applyBorder="1" applyAlignment="1">
      <alignment horizontal="center" vertical="center" wrapText="1"/>
    </xf>
    <xf numFmtId="0" fontId="34" fillId="0" borderId="11" xfId="13" applyFont="1" applyBorder="1" applyAlignment="1">
      <alignment horizontal="center" vertical="center" wrapText="1"/>
    </xf>
    <xf numFmtId="9" fontId="34" fillId="0" borderId="12" xfId="16" applyFont="1" applyBorder="1" applyAlignment="1">
      <alignment horizontal="center" vertical="center" wrapText="1"/>
    </xf>
    <xf numFmtId="0" fontId="34" fillId="0" borderId="4" xfId="13" applyFont="1" applyBorder="1" applyAlignment="1">
      <alignment horizontal="center" vertical="center" wrapText="1"/>
    </xf>
    <xf numFmtId="0" fontId="34" fillId="0" borderId="0" xfId="13" applyFont="1" applyAlignment="1">
      <alignment horizontal="center" vertical="center" wrapText="1"/>
    </xf>
    <xf numFmtId="0" fontId="34" fillId="0" borderId="0" xfId="13" applyFont="1" applyFill="1" applyAlignment="1">
      <alignment horizontal="center" vertical="center" wrapText="1"/>
    </xf>
    <xf numFmtId="0" fontId="34" fillId="0" borderId="4" xfId="13" applyFont="1" applyFill="1" applyBorder="1" applyAlignment="1">
      <alignment horizontal="center" vertical="center" wrapText="1"/>
    </xf>
    <xf numFmtId="0" fontId="34" fillId="0" borderId="16" xfId="13" applyFont="1" applyFill="1" applyBorder="1" applyAlignment="1">
      <alignment horizontal="center" vertical="center" wrapText="1"/>
    </xf>
    <xf numFmtId="0" fontId="35" fillId="0" borderId="13" xfId="13" applyFont="1" applyBorder="1" applyAlignment="1">
      <alignment vertical="center" shrinkToFit="1"/>
    </xf>
    <xf numFmtId="0" fontId="35" fillId="0" borderId="12" xfId="13" applyFont="1" applyBorder="1" applyAlignment="1">
      <alignment horizontal="center" vertical="center" wrapText="1" shrinkToFit="1"/>
    </xf>
    <xf numFmtId="0" fontId="35" fillId="0" borderId="14" xfId="13" applyFont="1" applyBorder="1" applyAlignment="1">
      <alignment vertical="center" shrinkToFit="1"/>
    </xf>
    <xf numFmtId="0" fontId="33" fillId="0" borderId="12" xfId="13" applyFont="1" applyBorder="1" applyAlignment="1">
      <alignment vertical="center"/>
    </xf>
    <xf numFmtId="0" fontId="33" fillId="0" borderId="12" xfId="13" applyFont="1" applyBorder="1" applyAlignment="1">
      <alignment horizontal="center" vertical="center"/>
    </xf>
    <xf numFmtId="0" fontId="33" fillId="0" borderId="18" xfId="13" applyFont="1" applyBorder="1" applyAlignment="1">
      <alignment horizontal="center" vertical="center"/>
    </xf>
    <xf numFmtId="166" fontId="33" fillId="0" borderId="12" xfId="17" applyNumberFormat="1" applyFont="1" applyBorder="1" applyAlignment="1">
      <alignment vertical="center"/>
    </xf>
    <xf numFmtId="0" fontId="33" fillId="0" borderId="16" xfId="13" applyFont="1" applyBorder="1" applyAlignment="1">
      <alignment horizontal="center" vertical="center"/>
    </xf>
    <xf numFmtId="0" fontId="33" fillId="0" borderId="3" xfId="13" applyFont="1" applyBorder="1" applyAlignment="1">
      <alignment horizontal="center" vertical="center"/>
    </xf>
    <xf numFmtId="165" fontId="33" fillId="0" borderId="12" xfId="16" applyNumberFormat="1" applyFont="1" applyFill="1" applyBorder="1" applyAlignment="1">
      <alignment horizontal="center" vertical="center"/>
    </xf>
    <xf numFmtId="9" fontId="33" fillId="0" borderId="12" xfId="16" applyFont="1" applyFill="1" applyBorder="1" applyAlignment="1">
      <alignment horizontal="center" vertical="center"/>
    </xf>
    <xf numFmtId="166" fontId="33" fillId="0" borderId="0" xfId="13" applyNumberFormat="1" applyFont="1" applyAlignment="1">
      <alignment vertical="center"/>
    </xf>
    <xf numFmtId="0" fontId="33" fillId="0" borderId="12" xfId="13" applyFont="1" applyFill="1" applyBorder="1" applyAlignment="1">
      <alignment vertical="center"/>
    </xf>
    <xf numFmtId="0" fontId="33" fillId="0" borderId="12" xfId="13" applyFont="1" applyFill="1" applyBorder="1" applyAlignment="1">
      <alignment horizontal="center" vertical="center"/>
    </xf>
    <xf numFmtId="0" fontId="37" fillId="12" borderId="12" xfId="13" applyFont="1" applyFill="1" applyBorder="1" applyAlignment="1">
      <alignment horizontal="center" vertical="center"/>
    </xf>
    <xf numFmtId="0" fontId="37" fillId="12" borderId="12" xfId="13" applyFont="1" applyFill="1" applyBorder="1" applyAlignment="1">
      <alignment horizontal="left" vertical="center"/>
    </xf>
    <xf numFmtId="166" fontId="37" fillId="12" borderId="12" xfId="17" applyNumberFormat="1" applyFont="1" applyFill="1" applyBorder="1" applyAlignment="1">
      <alignment horizontal="center" vertical="center"/>
    </xf>
    <xf numFmtId="0" fontId="33" fillId="12" borderId="18" xfId="13" applyFont="1" applyFill="1" applyBorder="1" applyAlignment="1">
      <alignment horizontal="center" vertical="center"/>
    </xf>
    <xf numFmtId="166" fontId="37" fillId="12" borderId="12" xfId="17" applyNumberFormat="1" applyFont="1" applyFill="1" applyBorder="1" applyAlignment="1">
      <alignment vertical="center"/>
    </xf>
    <xf numFmtId="0" fontId="37" fillId="12" borderId="13" xfId="13" applyFont="1" applyFill="1" applyBorder="1" applyAlignment="1">
      <alignment horizontal="center" vertical="center"/>
    </xf>
    <xf numFmtId="0" fontId="37" fillId="12" borderId="18" xfId="13" applyFont="1" applyFill="1" applyBorder="1" applyAlignment="1">
      <alignment horizontal="center" vertical="center"/>
    </xf>
    <xf numFmtId="165" fontId="37" fillId="12" borderId="12" xfId="16" applyNumberFormat="1" applyFont="1" applyFill="1" applyBorder="1" applyAlignment="1">
      <alignment horizontal="center" vertical="center"/>
    </xf>
    <xf numFmtId="49" fontId="37" fillId="12" borderId="12" xfId="16" applyNumberFormat="1" applyFont="1" applyFill="1" applyBorder="1" applyAlignment="1">
      <alignment horizontal="center" vertical="center" shrinkToFit="1"/>
    </xf>
    <xf numFmtId="0" fontId="37" fillId="0" borderId="0" xfId="13" applyFont="1" applyFill="1" applyAlignment="1">
      <alignment vertical="center"/>
    </xf>
    <xf numFmtId="166" fontId="37" fillId="0" borderId="0" xfId="13" applyNumberFormat="1" applyFont="1" applyFill="1" applyAlignment="1">
      <alignment vertical="center"/>
    </xf>
    <xf numFmtId="9" fontId="37" fillId="12" borderId="12" xfId="16" applyFont="1" applyFill="1" applyBorder="1" applyAlignment="1">
      <alignment vertical="center"/>
    </xf>
    <xf numFmtId="9" fontId="37" fillId="0" borderId="0" xfId="16" applyFont="1" applyFill="1" applyAlignment="1">
      <alignment vertical="center"/>
    </xf>
    <xf numFmtId="166" fontId="37" fillId="0" borderId="12" xfId="17" applyNumberFormat="1" applyFont="1" applyFill="1" applyBorder="1" applyAlignment="1">
      <alignment vertical="center"/>
    </xf>
    <xf numFmtId="0" fontId="37" fillId="0" borderId="12" xfId="13" applyFont="1" applyFill="1" applyBorder="1" applyAlignment="1">
      <alignment horizontal="center" vertical="center"/>
    </xf>
    <xf numFmtId="0" fontId="33" fillId="0" borderId="12" xfId="13" applyFont="1" applyFill="1" applyBorder="1" applyAlignment="1">
      <alignment horizontal="left" vertical="center" indent="4"/>
    </xf>
    <xf numFmtId="166" fontId="33" fillId="0" borderId="12" xfId="17" applyNumberFormat="1" applyFont="1" applyFill="1" applyBorder="1" applyAlignment="1">
      <alignment horizontal="center" vertical="center"/>
    </xf>
    <xf numFmtId="0" fontId="33" fillId="0" borderId="18" xfId="13" applyFont="1" applyFill="1" applyBorder="1" applyAlignment="1">
      <alignment horizontal="center" vertical="center"/>
    </xf>
    <xf numFmtId="166" fontId="38" fillId="0" borderId="12" xfId="17" applyNumberFormat="1" applyFont="1" applyFill="1" applyBorder="1" applyAlignment="1">
      <alignment vertical="center"/>
    </xf>
    <xf numFmtId="0" fontId="33" fillId="0" borderId="13" xfId="13" applyFont="1" applyFill="1" applyBorder="1" applyAlignment="1">
      <alignment horizontal="center" vertical="center"/>
    </xf>
    <xf numFmtId="165" fontId="38" fillId="0" borderId="12" xfId="16" applyNumberFormat="1" applyFont="1" applyFill="1" applyBorder="1" applyAlignment="1">
      <alignment horizontal="center" vertical="center"/>
    </xf>
    <xf numFmtId="49" fontId="38" fillId="0" borderId="12" xfId="16" applyNumberFormat="1" applyFont="1" applyFill="1" applyBorder="1" applyAlignment="1">
      <alignment horizontal="center" vertical="center" shrinkToFit="1"/>
    </xf>
    <xf numFmtId="166" fontId="33" fillId="0" borderId="0" xfId="13" applyNumberFormat="1" applyFont="1" applyFill="1" applyAlignment="1">
      <alignment vertical="center"/>
    </xf>
    <xf numFmtId="9" fontId="38" fillId="12" borderId="12" xfId="16" applyFont="1" applyFill="1" applyBorder="1" applyAlignment="1">
      <alignment vertical="center"/>
    </xf>
    <xf numFmtId="9" fontId="33" fillId="0" borderId="0" xfId="16" applyFont="1" applyFill="1" applyAlignment="1">
      <alignment vertical="center"/>
    </xf>
    <xf numFmtId="166" fontId="33" fillId="0" borderId="12" xfId="17" applyNumberFormat="1" applyFont="1" applyFill="1" applyBorder="1" applyAlignment="1">
      <alignment vertical="center"/>
    </xf>
    <xf numFmtId="0" fontId="33" fillId="12" borderId="12" xfId="13" applyFont="1" applyFill="1" applyBorder="1" applyAlignment="1">
      <alignment horizontal="center" vertical="center"/>
    </xf>
    <xf numFmtId="0" fontId="33" fillId="12" borderId="12" xfId="13" applyFont="1" applyFill="1" applyBorder="1" applyAlignment="1">
      <alignment horizontal="left" vertical="center" indent="4"/>
    </xf>
    <xf numFmtId="166" fontId="33" fillId="12" borderId="12" xfId="17" applyNumberFormat="1" applyFont="1" applyFill="1" applyBorder="1" applyAlignment="1">
      <alignment horizontal="center" vertical="center"/>
    </xf>
    <xf numFmtId="166" fontId="38" fillId="12" borderId="12" xfId="17" applyNumberFormat="1" applyFont="1" applyFill="1" applyBorder="1" applyAlignment="1">
      <alignment vertical="center"/>
    </xf>
    <xf numFmtId="0" fontId="33" fillId="12" borderId="13" xfId="13" applyFont="1" applyFill="1" applyBorder="1" applyAlignment="1">
      <alignment horizontal="center" vertical="center"/>
    </xf>
    <xf numFmtId="165" fontId="38" fillId="12" borderId="12" xfId="16" applyNumberFormat="1" applyFont="1" applyFill="1" applyBorder="1" applyAlignment="1">
      <alignment horizontal="center" vertical="center"/>
    </xf>
    <xf numFmtId="49" fontId="38" fillId="12" borderId="12" xfId="16" applyNumberFormat="1" applyFont="1" applyFill="1" applyBorder="1" applyAlignment="1">
      <alignment horizontal="center" vertical="center" shrinkToFit="1"/>
    </xf>
    <xf numFmtId="0" fontId="37" fillId="0" borderId="12" xfId="13" applyFont="1" applyFill="1" applyBorder="1" applyAlignment="1">
      <alignment horizontal="left" vertical="center"/>
    </xf>
    <xf numFmtId="166" fontId="37" fillId="0" borderId="12" xfId="17" applyNumberFormat="1" applyFont="1" applyFill="1" applyBorder="1" applyAlignment="1">
      <alignment horizontal="center" vertical="center"/>
    </xf>
    <xf numFmtId="165" fontId="37" fillId="0" borderId="12" xfId="16" applyNumberFormat="1" applyFont="1" applyFill="1" applyBorder="1" applyAlignment="1">
      <alignment horizontal="center" vertical="center"/>
    </xf>
    <xf numFmtId="49" fontId="37" fillId="0" borderId="12" xfId="16" applyNumberFormat="1" applyFont="1" applyFill="1" applyBorder="1" applyAlignment="1">
      <alignment horizontal="center" vertical="center" shrinkToFit="1"/>
    </xf>
    <xf numFmtId="0" fontId="37" fillId="0" borderId="18" xfId="13" applyFont="1" applyFill="1" applyBorder="1" applyAlignment="1">
      <alignment horizontal="center" vertical="center"/>
    </xf>
    <xf numFmtId="0" fontId="37" fillId="0" borderId="13" xfId="13" applyFont="1" applyFill="1" applyBorder="1" applyAlignment="1">
      <alignment horizontal="center" vertical="center"/>
    </xf>
    <xf numFmtId="9" fontId="33" fillId="0" borderId="12" xfId="16" applyFont="1" applyFill="1" applyBorder="1" applyAlignment="1">
      <alignment vertical="center"/>
    </xf>
    <xf numFmtId="0" fontId="33" fillId="12" borderId="12" xfId="13" applyFont="1" applyFill="1" applyBorder="1" applyAlignment="1">
      <alignment horizontal="left" vertical="center" wrapText="1" indent="4"/>
    </xf>
    <xf numFmtId="0" fontId="33" fillId="0" borderId="12" xfId="13" quotePrefix="1" applyFont="1" applyFill="1" applyBorder="1" applyAlignment="1">
      <alignment horizontal="center" vertical="center"/>
    </xf>
    <xf numFmtId="49" fontId="33" fillId="0" borderId="12" xfId="16" applyNumberFormat="1" applyFont="1" applyFill="1" applyBorder="1" applyAlignment="1">
      <alignment horizontal="center" vertical="center"/>
    </xf>
    <xf numFmtId="0" fontId="33" fillId="0" borderId="0" xfId="13" applyFont="1" applyFill="1" applyBorder="1" applyAlignment="1">
      <alignment horizontal="center" vertical="center"/>
    </xf>
    <xf numFmtId="0" fontId="33" fillId="0" borderId="0" xfId="13" applyFont="1" applyFill="1" applyBorder="1" applyAlignment="1">
      <alignment horizontal="left" vertical="center"/>
    </xf>
    <xf numFmtId="166" fontId="33" fillId="0" borderId="0" xfId="17" applyNumberFormat="1" applyFont="1" applyFill="1" applyBorder="1" applyAlignment="1">
      <alignment horizontal="center" vertical="center"/>
    </xf>
    <xf numFmtId="166" fontId="33" fillId="0" borderId="0" xfId="17" applyNumberFormat="1" applyFont="1" applyFill="1" applyBorder="1" applyAlignment="1">
      <alignment vertical="center"/>
    </xf>
    <xf numFmtId="165" fontId="38" fillId="0" borderId="0" xfId="16" applyNumberFormat="1" applyFont="1" applyFill="1" applyBorder="1" applyAlignment="1">
      <alignment horizontal="center" vertical="center"/>
    </xf>
    <xf numFmtId="49" fontId="38" fillId="0" borderId="0" xfId="16" applyNumberFormat="1" applyFont="1" applyFill="1" applyBorder="1" applyAlignment="1">
      <alignment horizontal="center" vertical="center" shrinkToFit="1"/>
    </xf>
    <xf numFmtId="165" fontId="33" fillId="0" borderId="12" xfId="12" applyNumberFormat="1" applyFont="1" applyFill="1" applyBorder="1" applyAlignment="1">
      <alignment vertical="center"/>
    </xf>
    <xf numFmtId="0" fontId="34" fillId="0" borderId="0" xfId="13" applyFont="1" applyBorder="1" applyAlignment="1">
      <alignment horizontal="left" vertical="center"/>
    </xf>
    <xf numFmtId="0" fontId="33" fillId="0" borderId="0" xfId="13" applyFont="1" applyAlignment="1">
      <alignment horizontal="left" vertical="center"/>
    </xf>
    <xf numFmtId="0" fontId="33" fillId="0" borderId="0" xfId="13" applyFont="1" applyBorder="1" applyAlignment="1">
      <alignment horizontal="center" vertical="center"/>
    </xf>
    <xf numFmtId="0" fontId="33" fillId="0" borderId="0" xfId="13" applyFont="1" applyBorder="1" applyAlignment="1">
      <alignment vertical="center"/>
    </xf>
    <xf numFmtId="166" fontId="33" fillId="0" borderId="0" xfId="17" applyNumberFormat="1" applyFont="1" applyBorder="1" applyAlignment="1">
      <alignment vertical="center"/>
    </xf>
    <xf numFmtId="9" fontId="33" fillId="0" borderId="0" xfId="16" applyFont="1" applyBorder="1" applyAlignment="1">
      <alignment vertical="center"/>
    </xf>
    <xf numFmtId="0" fontId="33" fillId="0" borderId="0" xfId="13" applyFont="1" applyFill="1" applyBorder="1" applyAlignment="1">
      <alignment vertical="center"/>
    </xf>
    <xf numFmtId="0" fontId="34" fillId="0" borderId="0" xfId="13" applyFont="1" applyFill="1" applyAlignment="1">
      <alignment vertical="center"/>
    </xf>
    <xf numFmtId="0" fontId="33" fillId="0" borderId="0" xfId="13" quotePrefix="1" applyFont="1" applyBorder="1" applyAlignment="1">
      <alignment vertical="center"/>
    </xf>
    <xf numFmtId="166" fontId="33" fillId="12" borderId="12" xfId="17" applyNumberFormat="1" applyFont="1" applyFill="1" applyBorder="1" applyAlignment="1">
      <alignment vertical="center"/>
    </xf>
    <xf numFmtId="0" fontId="33" fillId="0" borderId="12" xfId="13" applyFont="1" applyFill="1" applyBorder="1" applyAlignment="1">
      <alignment horizontal="center" vertical="center" shrinkToFit="1"/>
    </xf>
    <xf numFmtId="0" fontId="33" fillId="12" borderId="12" xfId="13" applyFont="1" applyFill="1" applyBorder="1" applyAlignment="1">
      <alignment horizontal="center" vertical="center" shrinkToFit="1"/>
    </xf>
    <xf numFmtId="9" fontId="33" fillId="0" borderId="0" xfId="16" applyFont="1" applyFill="1" applyBorder="1" applyAlignment="1">
      <alignment vertical="center"/>
    </xf>
    <xf numFmtId="0" fontId="33" fillId="0" borderId="12" xfId="13" applyFont="1" applyFill="1" applyBorder="1" applyAlignment="1">
      <alignment horizontal="left" vertical="center"/>
    </xf>
    <xf numFmtId="0" fontId="34" fillId="0" borderId="12" xfId="13" applyFont="1" applyFill="1" applyBorder="1" applyAlignment="1">
      <alignment horizontal="right" vertical="center"/>
    </xf>
    <xf numFmtId="166" fontId="34" fillId="0" borderId="12" xfId="17" applyNumberFormat="1" applyFont="1" applyFill="1" applyBorder="1" applyAlignment="1">
      <alignment horizontal="center" vertical="center"/>
    </xf>
    <xf numFmtId="166" fontId="33" fillId="0" borderId="12" xfId="17" applyNumberFormat="1" applyFont="1" applyBorder="1" applyAlignment="1">
      <alignment horizontal="center" vertical="center"/>
    </xf>
    <xf numFmtId="49" fontId="33" fillId="0" borderId="12" xfId="16" applyNumberFormat="1" applyFont="1" applyFill="1" applyBorder="1" applyAlignment="1">
      <alignment horizontal="center" vertical="center" shrinkToFit="1"/>
    </xf>
    <xf numFmtId="0" fontId="34" fillId="0" borderId="12" xfId="13" applyFont="1" applyBorder="1" applyAlignment="1">
      <alignment horizontal="right" vertical="center"/>
    </xf>
    <xf numFmtId="166" fontId="34" fillId="0" borderId="12" xfId="17" applyNumberFormat="1" applyFont="1" applyBorder="1" applyAlignment="1">
      <alignment vertical="center"/>
    </xf>
    <xf numFmtId="0" fontId="34" fillId="0" borderId="12" xfId="13" quotePrefix="1" applyFont="1" applyBorder="1" applyAlignment="1">
      <alignment horizontal="left" vertical="center"/>
    </xf>
    <xf numFmtId="0" fontId="34" fillId="0" borderId="18" xfId="13" quotePrefix="1" applyFont="1" applyBorder="1" applyAlignment="1">
      <alignment horizontal="left" vertical="center"/>
    </xf>
    <xf numFmtId="0" fontId="33" fillId="0" borderId="16" xfId="13" applyFont="1" applyFill="1" applyBorder="1" applyAlignment="1">
      <alignment horizontal="center" vertical="center"/>
    </xf>
    <xf numFmtId="9" fontId="33" fillId="0" borderId="12" xfId="16" applyFont="1" applyBorder="1" applyAlignment="1">
      <alignment vertical="center"/>
    </xf>
    <xf numFmtId="9" fontId="33" fillId="0" borderId="14" xfId="16" applyFont="1" applyFill="1" applyBorder="1" applyAlignment="1">
      <alignment horizontal="center" vertical="center"/>
    </xf>
    <xf numFmtId="0" fontId="35" fillId="0" borderId="12" xfId="13" applyFont="1" applyBorder="1" applyAlignment="1">
      <alignment horizontal="center" vertical="center"/>
    </xf>
    <xf numFmtId="0" fontId="33" fillId="0" borderId="15" xfId="13" applyFont="1" applyFill="1" applyBorder="1" applyAlignment="1">
      <alignment horizontal="center" vertical="center"/>
    </xf>
    <xf numFmtId="166" fontId="39" fillId="0" borderId="12" xfId="17" applyNumberFormat="1" applyFont="1" applyBorder="1" applyAlignment="1">
      <alignment horizontal="center" vertical="center"/>
    </xf>
    <xf numFmtId="49" fontId="33" fillId="0" borderId="12" xfId="17" applyNumberFormat="1" applyFont="1" applyBorder="1" applyAlignment="1">
      <alignment horizontal="center" vertical="center"/>
    </xf>
    <xf numFmtId="0" fontId="33" fillId="13" borderId="12" xfId="13" applyFont="1" applyFill="1" applyBorder="1" applyAlignment="1">
      <alignment horizontal="center" vertical="center"/>
    </xf>
    <xf numFmtId="0" fontId="34" fillId="0" borderId="12" xfId="13" applyFont="1" applyBorder="1" applyAlignment="1">
      <alignment horizontal="left" vertical="center"/>
    </xf>
    <xf numFmtId="166" fontId="33" fillId="0" borderId="18" xfId="17" applyNumberFormat="1" applyFont="1" applyBorder="1" applyAlignment="1">
      <alignment vertical="center"/>
    </xf>
    <xf numFmtId="0" fontId="34" fillId="0" borderId="12" xfId="13" quotePrefix="1" applyFont="1" applyBorder="1" applyAlignment="1">
      <alignment horizontal="center" vertical="center"/>
    </xf>
    <xf numFmtId="0" fontId="34" fillId="0" borderId="13" xfId="13" quotePrefix="1" applyFont="1" applyBorder="1" applyAlignment="1">
      <alignment horizontal="center" vertical="center"/>
    </xf>
    <xf numFmtId="0" fontId="34" fillId="0" borderId="18" xfId="13" quotePrefix="1" applyFont="1" applyBorder="1" applyAlignment="1">
      <alignment horizontal="center" vertical="center"/>
    </xf>
    <xf numFmtId="9" fontId="34" fillId="0" borderId="14" xfId="16" quotePrefix="1" applyFont="1" applyBorder="1" applyAlignment="1">
      <alignment horizontal="center" vertical="center"/>
    </xf>
    <xf numFmtId="0" fontId="34" fillId="0" borderId="12" xfId="13" quotePrefix="1" applyFont="1" applyBorder="1" applyAlignment="1">
      <alignment vertical="center"/>
    </xf>
    <xf numFmtId="0" fontId="34" fillId="0" borderId="18" xfId="13" quotePrefix="1" applyFont="1" applyBorder="1" applyAlignment="1">
      <alignment vertical="center"/>
    </xf>
    <xf numFmtId="0" fontId="33" fillId="0" borderId="18" xfId="13" applyFont="1" applyFill="1" applyBorder="1" applyAlignment="1">
      <alignment vertical="center"/>
    </xf>
    <xf numFmtId="0" fontId="34" fillId="0" borderId="12" xfId="13" applyFont="1" applyFill="1" applyBorder="1" applyAlignment="1">
      <alignment vertical="center"/>
    </xf>
    <xf numFmtId="0" fontId="34" fillId="0" borderId="16" xfId="13" applyFont="1" applyFill="1" applyBorder="1" applyAlignment="1">
      <alignment vertical="center"/>
    </xf>
    <xf numFmtId="0" fontId="34" fillId="0" borderId="16" xfId="13" quotePrefix="1" applyFont="1" applyBorder="1" applyAlignment="1">
      <alignment horizontal="center" vertical="center"/>
    </xf>
    <xf numFmtId="166" fontId="33" fillId="0" borderId="12" xfId="13" applyNumberFormat="1" applyFont="1" applyFill="1" applyBorder="1" applyAlignment="1">
      <alignment horizontal="center" vertical="center"/>
    </xf>
    <xf numFmtId="9" fontId="34" fillId="0" borderId="12" xfId="16" quotePrefix="1" applyFont="1" applyBorder="1" applyAlignment="1">
      <alignment horizontal="center" vertical="center"/>
    </xf>
    <xf numFmtId="166" fontId="34" fillId="0" borderId="12" xfId="17" quotePrefix="1" applyNumberFormat="1" applyFont="1" applyBorder="1" applyAlignment="1">
      <alignment vertical="center"/>
    </xf>
    <xf numFmtId="9" fontId="33" fillId="0" borderId="12" xfId="16" applyFont="1" applyBorder="1" applyAlignment="1">
      <alignment horizontal="center" vertical="center"/>
    </xf>
    <xf numFmtId="0" fontId="34" fillId="0" borderId="0" xfId="13" applyFont="1" applyBorder="1" applyAlignment="1">
      <alignment horizontal="right" vertical="center"/>
    </xf>
    <xf numFmtId="166" fontId="34" fillId="0" borderId="0" xfId="17" applyNumberFormat="1" applyFont="1" applyBorder="1" applyAlignment="1">
      <alignment vertical="center"/>
    </xf>
    <xf numFmtId="0" fontId="34" fillId="0" borderId="0" xfId="13" quotePrefix="1" applyFont="1" applyBorder="1" applyAlignment="1">
      <alignment horizontal="left" vertical="center"/>
    </xf>
    <xf numFmtId="166" fontId="34" fillId="0" borderId="0" xfId="17" quotePrefix="1" applyNumberFormat="1" applyFont="1" applyBorder="1" applyAlignment="1">
      <alignment vertical="center"/>
    </xf>
    <xf numFmtId="9" fontId="33" fillId="0" borderId="0" xfId="16" applyFont="1" applyBorder="1" applyAlignment="1">
      <alignment horizontal="center" vertical="center"/>
    </xf>
    <xf numFmtId="0" fontId="38" fillId="0" borderId="0" xfId="18" applyFont="1"/>
    <xf numFmtId="0" fontId="38" fillId="0" borderId="0" xfId="18" applyFont="1" applyFill="1"/>
    <xf numFmtId="0" fontId="34" fillId="0" borderId="12" xfId="13" applyFont="1" applyBorder="1" applyAlignment="1">
      <alignment horizontal="center" vertical="center"/>
    </xf>
    <xf numFmtId="0" fontId="33" fillId="13" borderId="12" xfId="13" applyFont="1" applyFill="1" applyBorder="1" applyAlignment="1">
      <alignment vertical="center"/>
    </xf>
    <xf numFmtId="9" fontId="33" fillId="13" borderId="12" xfId="16" applyFont="1" applyFill="1" applyBorder="1" applyAlignment="1">
      <alignment vertical="center"/>
    </xf>
    <xf numFmtId="0" fontId="34" fillId="13" borderId="12" xfId="13" quotePrefix="1" applyFont="1" applyFill="1" applyBorder="1" applyAlignment="1">
      <alignment vertical="center"/>
    </xf>
    <xf numFmtId="9" fontId="34" fillId="13" borderId="12" xfId="16" quotePrefix="1" applyFont="1" applyFill="1" applyBorder="1" applyAlignment="1">
      <alignment vertical="center"/>
    </xf>
    <xf numFmtId="0" fontId="34" fillId="13" borderId="12" xfId="13" quotePrefix="1" applyFont="1" applyFill="1" applyBorder="1" applyAlignment="1">
      <alignment horizontal="center" vertical="center"/>
    </xf>
    <xf numFmtId="9" fontId="34" fillId="13" borderId="12" xfId="16" quotePrefix="1" applyFont="1" applyFill="1" applyBorder="1" applyAlignment="1">
      <alignment horizontal="center" vertical="center"/>
    </xf>
    <xf numFmtId="0" fontId="34" fillId="13" borderId="12" xfId="13" applyFont="1" applyFill="1" applyBorder="1" applyAlignment="1">
      <alignment vertical="center"/>
    </xf>
    <xf numFmtId="9" fontId="34" fillId="13" borderId="12" xfId="16" applyFont="1" applyFill="1" applyBorder="1" applyAlignment="1">
      <alignment vertical="center"/>
    </xf>
    <xf numFmtId="166" fontId="34" fillId="0" borderId="12" xfId="17" applyNumberFormat="1" applyFont="1" applyBorder="1" applyAlignment="1">
      <alignment horizontal="center" vertical="center"/>
    </xf>
    <xf numFmtId="9" fontId="34" fillId="0" borderId="12" xfId="16" applyFont="1" applyBorder="1" applyAlignment="1">
      <alignment vertical="center"/>
    </xf>
    <xf numFmtId="0" fontId="2" fillId="0" borderId="0" xfId="18" applyFill="1"/>
    <xf numFmtId="0" fontId="40" fillId="0" borderId="21" xfId="13" applyFont="1" applyBorder="1" applyAlignment="1">
      <alignment vertical="center"/>
    </xf>
    <xf numFmtId="0" fontId="33" fillId="0" borderId="22" xfId="13" applyFont="1" applyBorder="1" applyAlignment="1">
      <alignment vertical="center"/>
    </xf>
    <xf numFmtId="0" fontId="2" fillId="0" borderId="22" xfId="18" applyFill="1" applyBorder="1"/>
    <xf numFmtId="0" fontId="33" fillId="0" borderId="23" xfId="13" applyFont="1" applyBorder="1" applyAlignment="1">
      <alignment vertical="center"/>
    </xf>
    <xf numFmtId="166" fontId="33" fillId="0" borderId="0" xfId="19" applyNumberFormat="1" applyFont="1" applyBorder="1" applyAlignment="1">
      <alignment vertical="center"/>
    </xf>
    <xf numFmtId="43" fontId="33" fillId="0" borderId="0" xfId="19" applyFont="1" applyBorder="1" applyAlignment="1">
      <alignment vertical="center"/>
    </xf>
    <xf numFmtId="9" fontId="33" fillId="0" borderId="23" xfId="16" applyFont="1" applyBorder="1" applyAlignment="1">
      <alignment vertical="center"/>
    </xf>
    <xf numFmtId="0" fontId="2" fillId="0" borderId="0" xfId="18" applyFill="1" applyBorder="1"/>
    <xf numFmtId="9" fontId="33" fillId="0" borderId="24" xfId="16" applyFont="1" applyBorder="1" applyAlignment="1">
      <alignment vertical="center"/>
    </xf>
    <xf numFmtId="0" fontId="33" fillId="0" borderId="25" xfId="13" applyFont="1" applyBorder="1" applyAlignment="1">
      <alignment vertical="center"/>
    </xf>
    <xf numFmtId="0" fontId="2" fillId="0" borderId="25" xfId="18" applyFill="1" applyBorder="1"/>
    <xf numFmtId="0" fontId="41" fillId="2" borderId="0" xfId="2" applyFont="1" applyFill="1"/>
    <xf numFmtId="0" fontId="42" fillId="2" borderId="0" xfId="2" applyFont="1" applyFill="1"/>
    <xf numFmtId="0" fontId="4" fillId="0" borderId="0" xfId="2" applyFont="1" applyFill="1"/>
    <xf numFmtId="0" fontId="9" fillId="2" borderId="0" xfId="13" applyFont="1" applyFill="1" applyAlignment="1">
      <alignment vertical="center" wrapText="1"/>
    </xf>
    <xf numFmtId="0" fontId="14" fillId="5" borderId="13" xfId="2" applyFont="1" applyFill="1" applyBorder="1" applyAlignment="1">
      <alignment horizontal="center"/>
    </xf>
    <xf numFmtId="0" fontId="14" fillId="5" borderId="14" xfId="2" applyFont="1" applyFill="1" applyBorder="1" applyAlignment="1">
      <alignment horizontal="center"/>
    </xf>
    <xf numFmtId="0" fontId="14" fillId="5" borderId="12" xfId="2" applyFont="1" applyFill="1" applyBorder="1" applyAlignment="1">
      <alignment horizontal="center"/>
    </xf>
    <xf numFmtId="0" fontId="6" fillId="0" borderId="8" xfId="2" quotePrefix="1" applyFont="1" applyBorder="1" applyAlignment="1">
      <alignment horizontal="left" vertical="top" wrapText="1"/>
    </xf>
    <xf numFmtId="0" fontId="23" fillId="0" borderId="9" xfId="2" applyFont="1" applyBorder="1" applyAlignment="1">
      <alignment vertical="top" wrapText="1"/>
    </xf>
    <xf numFmtId="0" fontId="23" fillId="0" borderId="10" xfId="2" applyFont="1" applyBorder="1" applyAlignment="1">
      <alignment vertical="top" wrapText="1"/>
    </xf>
    <xf numFmtId="14" fontId="30" fillId="0" borderId="15" xfId="13" applyNumberFormat="1" applyFont="1" applyBorder="1" applyAlignment="1">
      <alignment horizontal="center" vertical="center" wrapText="1"/>
    </xf>
    <xf numFmtId="14" fontId="30" fillId="0" borderId="18" xfId="13" applyNumberFormat="1" applyFont="1" applyBorder="1" applyAlignment="1">
      <alignment horizontal="center" vertical="center" wrapText="1"/>
    </xf>
    <xf numFmtId="14" fontId="30" fillId="0" borderId="16" xfId="13" applyNumberFormat="1" applyFont="1" applyBorder="1" applyAlignment="1">
      <alignment horizontal="center" vertical="center" wrapText="1"/>
    </xf>
    <xf numFmtId="0" fontId="30" fillId="0" borderId="1" xfId="13" applyFont="1" applyBorder="1" applyAlignment="1">
      <alignment horizontal="center" vertical="center" wrapText="1"/>
    </xf>
    <xf numFmtId="0" fontId="30" fillId="0" borderId="19" xfId="13" applyFont="1" applyBorder="1" applyAlignment="1">
      <alignment horizontal="center" vertical="center" wrapText="1"/>
    </xf>
    <xf numFmtId="0" fontId="30" fillId="0" borderId="2" xfId="13" applyFont="1" applyBorder="1" applyAlignment="1">
      <alignment horizontal="center" vertical="center" wrapText="1"/>
    </xf>
    <xf numFmtId="0" fontId="30" fillId="0" borderId="5" xfId="13" applyFont="1" applyBorder="1" applyAlignment="1">
      <alignment horizontal="center" vertical="center" wrapText="1"/>
    </xf>
    <xf numFmtId="0" fontId="30" fillId="0" borderId="0" xfId="13" applyFont="1" applyBorder="1" applyAlignment="1">
      <alignment horizontal="center" vertical="center" wrapText="1"/>
    </xf>
    <xf numFmtId="0" fontId="30" fillId="0" borderId="6" xfId="13" applyFont="1" applyBorder="1" applyAlignment="1">
      <alignment horizontal="center" vertical="center" wrapText="1"/>
    </xf>
    <xf numFmtId="0" fontId="30" fillId="0" borderId="15" xfId="13" applyFont="1" applyBorder="1" applyAlignment="1">
      <alignment horizontal="center" vertical="center" wrapText="1"/>
    </xf>
    <xf numFmtId="0" fontId="30" fillId="0" borderId="18" xfId="13" applyFont="1" applyBorder="1" applyAlignment="1">
      <alignment horizontal="center" vertical="center" wrapText="1"/>
    </xf>
    <xf numFmtId="0" fontId="30" fillId="0" borderId="16" xfId="13" applyFont="1" applyBorder="1" applyAlignment="1">
      <alignment horizontal="center" vertical="center" wrapText="1"/>
    </xf>
    <xf numFmtId="164" fontId="30" fillId="0" borderId="15" xfId="14" applyNumberFormat="1" applyFont="1" applyBorder="1" applyAlignment="1">
      <alignment horizontal="center" vertical="center" wrapText="1"/>
    </xf>
    <xf numFmtId="164" fontId="30" fillId="0" borderId="18" xfId="14" applyNumberFormat="1" applyFont="1" applyBorder="1" applyAlignment="1">
      <alignment horizontal="center" vertical="center" wrapText="1"/>
    </xf>
    <xf numFmtId="164" fontId="30" fillId="0" borderId="16" xfId="14" applyNumberFormat="1" applyFont="1" applyBorder="1" applyAlignment="1">
      <alignment horizontal="center" vertical="center" wrapText="1"/>
    </xf>
    <xf numFmtId="0" fontId="30" fillId="0" borderId="12" xfId="13" applyFont="1" applyBorder="1" applyAlignment="1">
      <alignment horizontal="center" vertical="center" wrapText="1"/>
    </xf>
    <xf numFmtId="0" fontId="9" fillId="0" borderId="12" xfId="13" applyFont="1" applyBorder="1" applyAlignment="1">
      <alignment horizontal="center" vertical="center"/>
    </xf>
    <xf numFmtId="0" fontId="9" fillId="0" borderId="12" xfId="13" applyFont="1" applyBorder="1" applyAlignment="1">
      <alignment vertical="center" wrapText="1"/>
    </xf>
    <xf numFmtId="0" fontId="9" fillId="0" borderId="12" xfId="13" applyFont="1" applyBorder="1" applyAlignment="1">
      <alignment horizontal="center" vertical="center" wrapText="1"/>
    </xf>
    <xf numFmtId="0" fontId="30" fillId="0" borderId="15" xfId="13" applyNumberFormat="1" applyFont="1" applyBorder="1" applyAlignment="1">
      <alignment horizontal="center" vertical="center" wrapText="1"/>
    </xf>
    <xf numFmtId="0" fontId="30" fillId="0" borderId="18" xfId="13" applyNumberFormat="1" applyFont="1" applyBorder="1" applyAlignment="1">
      <alignment horizontal="center" vertical="center" wrapText="1"/>
    </xf>
    <xf numFmtId="0" fontId="30" fillId="0" borderId="16" xfId="13" applyNumberFormat="1" applyFont="1" applyBorder="1" applyAlignment="1">
      <alignment horizontal="center" vertical="center" wrapText="1"/>
    </xf>
    <xf numFmtId="0" fontId="34" fillId="0" borderId="19" xfId="13" applyFont="1" applyFill="1" applyBorder="1" applyAlignment="1">
      <alignment horizontal="center" vertical="center"/>
    </xf>
    <xf numFmtId="0" fontId="34" fillId="0" borderId="3" xfId="13" applyFont="1" applyBorder="1" applyAlignment="1">
      <alignment horizontal="center" vertical="center" wrapText="1"/>
    </xf>
    <xf numFmtId="0" fontId="34" fillId="0" borderId="11" xfId="13" applyFont="1" applyBorder="1" applyAlignment="1">
      <alignment horizontal="center" vertical="center" wrapText="1"/>
    </xf>
    <xf numFmtId="0" fontId="34" fillId="0" borderId="8" xfId="13" applyFont="1" applyBorder="1" applyAlignment="1">
      <alignment horizontal="center" vertical="center" wrapText="1"/>
    </xf>
    <xf numFmtId="0" fontId="34" fillId="0" borderId="9" xfId="13" applyFont="1" applyBorder="1" applyAlignment="1">
      <alignment horizontal="center" vertical="center" wrapText="1"/>
    </xf>
    <xf numFmtId="0" fontId="34" fillId="0" borderId="10" xfId="13" applyFont="1" applyBorder="1" applyAlignment="1">
      <alignment horizontal="center" vertical="center" wrapText="1"/>
    </xf>
    <xf numFmtId="0" fontId="34" fillId="0" borderId="11" xfId="13" applyFont="1" applyFill="1" applyBorder="1" applyAlignment="1">
      <alignment horizontal="center" vertical="center" wrapText="1"/>
    </xf>
    <xf numFmtId="0" fontId="34" fillId="0" borderId="1" xfId="13" applyFont="1" applyBorder="1" applyAlignment="1">
      <alignment horizontal="center" vertical="center" wrapText="1"/>
    </xf>
    <xf numFmtId="0" fontId="34" fillId="0" borderId="2" xfId="13" applyFont="1" applyBorder="1" applyAlignment="1">
      <alignment horizontal="center" vertical="center" wrapText="1"/>
    </xf>
    <xf numFmtId="0" fontId="34" fillId="0" borderId="5" xfId="13" applyFont="1" applyBorder="1" applyAlignment="1">
      <alignment horizontal="center" vertical="center" wrapText="1"/>
    </xf>
    <xf numFmtId="0" fontId="34" fillId="0" borderId="6" xfId="13" applyFont="1" applyBorder="1" applyAlignment="1">
      <alignment horizontal="center" vertical="center" wrapText="1"/>
    </xf>
    <xf numFmtId="0" fontId="34" fillId="0" borderId="4" xfId="13" applyFont="1" applyBorder="1" applyAlignment="1">
      <alignment horizontal="center" vertical="center" wrapText="1"/>
    </xf>
    <xf numFmtId="0" fontId="34" fillId="0" borderId="5" xfId="13" applyFont="1" applyBorder="1" applyAlignment="1">
      <alignment horizontal="center" vertical="center"/>
    </xf>
    <xf numFmtId="0" fontId="34" fillId="0" borderId="0" xfId="13" applyFont="1" applyBorder="1" applyAlignment="1">
      <alignment horizontal="center" vertical="center"/>
    </xf>
    <xf numFmtId="0" fontId="34" fillId="0" borderId="5" xfId="13" applyFont="1" applyBorder="1" applyAlignment="1">
      <alignment horizontal="center" vertical="center" shrinkToFit="1"/>
    </xf>
    <xf numFmtId="0" fontId="34" fillId="0" borderId="6" xfId="13" applyFont="1" applyBorder="1" applyAlignment="1">
      <alignment horizontal="center" vertical="center" shrinkToFit="1"/>
    </xf>
    <xf numFmtId="170" fontId="35" fillId="0" borderId="0" xfId="13" applyNumberFormat="1" applyFont="1" applyFill="1" applyAlignment="1">
      <alignment horizontal="right" vertical="center"/>
    </xf>
    <xf numFmtId="0" fontId="35" fillId="0" borderId="0" xfId="13" applyFont="1" applyFill="1" applyAlignment="1">
      <alignment horizontal="right" vertical="center"/>
    </xf>
    <xf numFmtId="0" fontId="34" fillId="0" borderId="12" xfId="13" applyFont="1" applyBorder="1" applyAlignment="1">
      <alignment horizontal="center" vertical="center" wrapText="1"/>
    </xf>
    <xf numFmtId="0" fontId="34" fillId="0" borderId="12" xfId="13" applyFont="1" applyBorder="1" applyAlignment="1">
      <alignment vertical="center"/>
    </xf>
    <xf numFmtId="0" fontId="34" fillId="0" borderId="12" xfId="13" applyFont="1" applyBorder="1" applyAlignment="1">
      <alignment horizontal="center" vertical="center"/>
    </xf>
    <xf numFmtId="0" fontId="34" fillId="0" borderId="13" xfId="13" applyFont="1" applyBorder="1" applyAlignment="1">
      <alignment horizontal="center" vertical="center"/>
    </xf>
    <xf numFmtId="0" fontId="34" fillId="0" borderId="17" xfId="13" applyFont="1" applyBorder="1" applyAlignment="1">
      <alignment horizontal="center" vertical="center"/>
    </xf>
    <xf numFmtId="0" fontId="34" fillId="0" borderId="18" xfId="13" applyFont="1" applyBorder="1" applyAlignment="1">
      <alignment horizontal="center" vertical="center" wrapText="1"/>
    </xf>
    <xf numFmtId="0" fontId="34" fillId="0" borderId="16" xfId="13" applyFont="1" applyBorder="1" applyAlignment="1">
      <alignment horizontal="center" vertical="center" wrapText="1"/>
    </xf>
  </cellXfs>
  <cellStyles count="20">
    <cellStyle name="Comma [0] 2" xfId="6"/>
    <cellStyle name="Comma 2" xfId="5"/>
    <cellStyle name="Comma 2 2" xfId="17"/>
    <cellStyle name="Comma 3" xfId="7"/>
    <cellStyle name="Comma 3 2" xfId="19"/>
    <cellStyle name="Currency" xfId="1" builtinId="4"/>
    <cellStyle name="Currency [0] 2" xfId="8"/>
    <cellStyle name="Currency 2" xfId="4"/>
    <cellStyle name="Currency 2 2" xfId="14"/>
    <cellStyle name="Currency 3" xfId="9"/>
    <cellStyle name="Normal" xfId="0" builtinId="0"/>
    <cellStyle name="Normal 2" xfId="2"/>
    <cellStyle name="Normal 2 2" xfId="13"/>
    <cellStyle name="Normal 3" xfId="10"/>
    <cellStyle name="Normal 3 2" xfId="18"/>
    <cellStyle name="Normal 5" xfId="11"/>
    <cellStyle name="Percent 2" xfId="3"/>
    <cellStyle name="Percent 2 2" xfId="15"/>
    <cellStyle name="Percent 2 2 2" xfId="16"/>
    <cellStyle name="Percent 3" xfId="12"/>
  </cellStyles>
  <dxfs count="9">
    <dxf>
      <font>
        <b/>
        <i val="0"/>
        <condense val="0"/>
        <extend val="0"/>
        <color indexed="10"/>
      </font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  <color rgb="FFC0C0C0"/>
      <color rgb="FFFF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6</xdr:row>
          <xdr:rowOff>76200</xdr:rowOff>
        </xdr:from>
        <xdr:to>
          <xdr:col>5</xdr:col>
          <xdr:colOff>381000</xdr:colOff>
          <xdr:row>9</xdr:row>
          <xdr:rowOff>114300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Calc IRR using Goal Seek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C84"/>
  <sheetViews>
    <sheetView tabSelected="1" zoomScaleNormal="100" workbookViewId="0">
      <selection sqref="A1:B1"/>
    </sheetView>
  </sheetViews>
  <sheetFormatPr defaultRowHeight="12.75" outlineLevelCol="1"/>
  <cols>
    <col min="1" max="1" width="51.7109375" style="41" bestFit="1" customWidth="1"/>
    <col min="2" max="2" width="15.140625" style="41" bestFit="1" customWidth="1"/>
    <col min="3" max="3" width="16.28515625" style="40" bestFit="1" customWidth="1"/>
    <col min="4" max="4" width="15.7109375" style="40" customWidth="1"/>
    <col min="5" max="5" width="15.5703125" style="40" customWidth="1"/>
    <col min="6" max="8" width="13.85546875" style="40" bestFit="1" customWidth="1"/>
    <col min="9" max="9" width="13.85546875" style="41" bestFit="1" customWidth="1"/>
    <col min="10" max="12" width="13.85546875" style="41" hidden="1" customWidth="1" outlineLevel="1"/>
    <col min="13" max="28" width="14.28515625" style="41" hidden="1" customWidth="1" outlineLevel="1"/>
    <col min="29" max="29" width="13.42578125" style="40" hidden="1" customWidth="1" outlineLevel="1"/>
    <col min="30" max="30" width="13.85546875" style="40" hidden="1" customWidth="1" outlineLevel="1"/>
    <col min="31" max="31" width="13.85546875" style="40" bestFit="1" customWidth="1" collapsed="1"/>
    <col min="32" max="32" width="13.85546875" style="40" bestFit="1" customWidth="1"/>
    <col min="33" max="33" width="13.85546875" style="40" customWidth="1"/>
    <col min="34" max="34" width="13.5703125" style="40" customWidth="1"/>
    <col min="35" max="35" width="15" style="40" bestFit="1" customWidth="1"/>
    <col min="36" max="38" width="12.28515625" style="41" bestFit="1" customWidth="1"/>
    <col min="39" max="39" width="10" style="41" bestFit="1" customWidth="1"/>
    <col min="40" max="40" width="9.140625" style="41"/>
    <col min="41" max="41" width="11" style="41" bestFit="1" customWidth="1"/>
    <col min="42" max="42" width="12.28515625" style="41" bestFit="1" customWidth="1"/>
    <col min="43" max="43" width="10" style="41" bestFit="1" customWidth="1"/>
    <col min="44" max="16384" width="9.140625" style="41"/>
  </cols>
  <sheetData>
    <row r="1" spans="1:35">
      <c r="A1" s="466" t="s">
        <v>395</v>
      </c>
      <c r="B1" s="466"/>
    </row>
    <row r="2" spans="1:35" ht="13.5" thickBot="1"/>
    <row r="3" spans="1:35" ht="21" thickBot="1">
      <c r="A3" s="35" t="s">
        <v>63</v>
      </c>
      <c r="B3" s="36" t="s">
        <v>64</v>
      </c>
      <c r="C3" s="37" t="s">
        <v>65</v>
      </c>
      <c r="D3" s="36" t="s">
        <v>66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1:35" s="45" customFormat="1" ht="15">
      <c r="A4" s="42"/>
      <c r="B4" s="43" t="s">
        <v>120</v>
      </c>
      <c r="C4" s="44">
        <v>41103</v>
      </c>
      <c r="D4" s="43" t="s">
        <v>68</v>
      </c>
      <c r="E4" s="43"/>
      <c r="F4" s="43"/>
      <c r="G4" s="43"/>
      <c r="H4" s="43"/>
      <c r="AC4" s="39"/>
      <c r="AD4" s="39"/>
      <c r="AE4" s="39"/>
      <c r="AF4" s="39"/>
      <c r="AG4" s="39"/>
      <c r="AH4" s="39"/>
      <c r="AI4" s="39"/>
    </row>
    <row r="5" spans="1:35">
      <c r="B5" s="46"/>
      <c r="D5" s="41"/>
      <c r="F5" s="41"/>
      <c r="G5" s="41"/>
      <c r="H5" s="41"/>
    </row>
    <row r="6" spans="1:35">
      <c r="A6" s="470" t="s">
        <v>69</v>
      </c>
      <c r="B6" s="471"/>
      <c r="C6" s="47" t="s">
        <v>70</v>
      </c>
      <c r="D6" s="41"/>
      <c r="E6" s="472" t="s">
        <v>71</v>
      </c>
      <c r="F6" s="472"/>
      <c r="G6" s="472"/>
      <c r="H6" s="472"/>
      <c r="I6" s="472"/>
      <c r="J6" s="472"/>
      <c r="K6" s="472"/>
      <c r="L6" s="472"/>
      <c r="M6" s="472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35">
      <c r="A7" s="41" t="s">
        <v>52</v>
      </c>
      <c r="B7" s="48">
        <v>0.1</v>
      </c>
      <c r="C7" s="40" t="s">
        <v>67</v>
      </c>
      <c r="D7" s="41"/>
      <c r="E7" s="40" t="s">
        <v>72</v>
      </c>
      <c r="F7" s="41" t="str">
        <f>"Analyze potential cashflow for "&amp;A3&amp;" at PDX."</f>
        <v>Analyze potential cashflow for Hangar Development  at PDX.</v>
      </c>
      <c r="G7" s="41"/>
      <c r="H7" s="41"/>
    </row>
    <row r="8" spans="1:35">
      <c r="A8" s="41" t="s">
        <v>73</v>
      </c>
      <c r="B8" s="49">
        <v>1.0249999999999999</v>
      </c>
      <c r="C8" s="40" t="s">
        <v>67</v>
      </c>
      <c r="D8" s="41"/>
      <c r="G8" s="41"/>
      <c r="H8" s="41"/>
    </row>
    <row r="9" spans="1:35">
      <c r="A9" s="41" t="s">
        <v>74</v>
      </c>
      <c r="B9" s="49">
        <v>1.0149999999999999</v>
      </c>
      <c r="D9" s="41"/>
      <c r="E9" s="41" t="s">
        <v>52</v>
      </c>
      <c r="F9" s="45" t="str">
        <f>"Using "&amp;FIXED(B7*100,1,0) &amp;"% for this scenario since this matches the Port's standard level of risk."</f>
        <v>Using 10.0% for this scenario since this matches the Port's standard level of risk.</v>
      </c>
      <c r="G9" s="41"/>
      <c r="H9" s="41"/>
    </row>
    <row r="10" spans="1:35">
      <c r="A10" s="41" t="s">
        <v>62</v>
      </c>
      <c r="B10" s="50">
        <v>0.03</v>
      </c>
      <c r="C10" s="40" t="s">
        <v>67</v>
      </c>
      <c r="D10" s="41"/>
      <c r="E10" s="41"/>
      <c r="G10" s="41"/>
      <c r="H10" s="41"/>
    </row>
    <row r="11" spans="1:35">
      <c r="A11" s="40" t="s">
        <v>75</v>
      </c>
      <c r="B11" s="51">
        <v>2013</v>
      </c>
      <c r="D11" s="41"/>
      <c r="E11" s="41" t="s">
        <v>69</v>
      </c>
      <c r="F11" s="39" t="str">
        <f>"Land rate is escalated every three years at "&amp;FIXED((B8-1)*100,1,0)&amp;"% annually, starting July 1, 2013."</f>
        <v>Land rate is escalated every three years at 2.5% annually, starting July 1, 2013.</v>
      </c>
      <c r="G11" s="41"/>
      <c r="H11" s="41"/>
    </row>
    <row r="12" spans="1:35">
      <c r="A12" s="39"/>
      <c r="B12" s="49"/>
      <c r="D12" s="41"/>
      <c r="E12" s="41"/>
      <c r="F12" s="39" t="str">
        <f>"Ramp rental rate is escalated every three years at "&amp;FIXED((B8-1)*100,1,0)&amp;"% annually, starting July 1, 2013."</f>
        <v>Ramp rental rate is escalated every three years at 2.5% annually, starting July 1, 2013.</v>
      </c>
      <c r="G12" s="41"/>
      <c r="H12" s="41"/>
    </row>
    <row r="13" spans="1:35">
      <c r="C13" s="52"/>
      <c r="D13" s="41"/>
      <c r="F13" s="40" t="s">
        <v>76</v>
      </c>
      <c r="G13" s="41"/>
      <c r="H13" s="41"/>
    </row>
    <row r="14" spans="1:35">
      <c r="A14" s="41" t="s">
        <v>77</v>
      </c>
      <c r="B14" s="53">
        <v>45000</v>
      </c>
      <c r="C14" s="54"/>
      <c r="D14" s="41"/>
      <c r="F14" s="39"/>
      <c r="G14" s="41"/>
      <c r="H14" s="41"/>
    </row>
    <row r="15" spans="1:35">
      <c r="A15" s="41" t="s">
        <v>78</v>
      </c>
      <c r="B15" s="53">
        <v>85000</v>
      </c>
      <c r="C15" s="54"/>
      <c r="D15" s="41"/>
      <c r="F15" s="39"/>
      <c r="G15" s="41"/>
      <c r="H15" s="41"/>
    </row>
    <row r="16" spans="1:35">
      <c r="A16" s="41" t="s">
        <v>79</v>
      </c>
      <c r="B16" s="53">
        <v>0</v>
      </c>
      <c r="C16" s="54"/>
      <c r="D16" s="41"/>
      <c r="F16" s="39"/>
      <c r="G16" s="41"/>
      <c r="H16" s="41"/>
    </row>
    <row r="17" spans="1:35">
      <c r="A17" s="55" t="s">
        <v>80</v>
      </c>
      <c r="B17" s="53">
        <v>0</v>
      </c>
      <c r="C17" s="54"/>
      <c r="D17" s="41"/>
      <c r="H17" s="41"/>
    </row>
    <row r="18" spans="1:35">
      <c r="A18" s="56"/>
      <c r="B18" s="57"/>
      <c r="C18" s="54"/>
      <c r="D18" s="41"/>
      <c r="H18" s="41"/>
    </row>
    <row r="19" spans="1:35">
      <c r="A19" s="41" t="s">
        <v>81</v>
      </c>
      <c r="B19" s="58">
        <v>0.62</v>
      </c>
      <c r="C19" s="59">
        <f>B19</f>
        <v>0.62</v>
      </c>
      <c r="D19" s="60">
        <f t="shared" ref="D19:D20" si="0">ROUND(C19*$B$8,2)</f>
        <v>0.64</v>
      </c>
      <c r="E19" s="61">
        <f t="shared" ref="D19:F22" si="1">D19</f>
        <v>0.64</v>
      </c>
      <c r="F19" s="61">
        <f t="shared" si="1"/>
        <v>0.64</v>
      </c>
      <c r="G19" s="60">
        <f t="shared" ref="G19:G20" si="2">ROUND(F19*$B$8,2)</f>
        <v>0.66</v>
      </c>
      <c r="H19" s="61">
        <f t="shared" ref="H19:I20" si="3">G19</f>
        <v>0.66</v>
      </c>
      <c r="I19" s="61">
        <f t="shared" si="3"/>
        <v>0.66</v>
      </c>
      <c r="J19" s="60">
        <f t="shared" ref="J19:J20" si="4">ROUND(I19*$B$8,2)</f>
        <v>0.68</v>
      </c>
      <c r="K19" s="61">
        <f t="shared" ref="K19:L20" si="5">J19</f>
        <v>0.68</v>
      </c>
      <c r="L19" s="61">
        <f t="shared" si="5"/>
        <v>0.68</v>
      </c>
      <c r="M19" s="60">
        <f t="shared" ref="M19:M20" si="6">ROUND(L19*$B$8,2)</f>
        <v>0.7</v>
      </c>
      <c r="N19" s="61">
        <f t="shared" ref="N19:O20" si="7">M19</f>
        <v>0.7</v>
      </c>
      <c r="O19" s="61">
        <f t="shared" si="7"/>
        <v>0.7</v>
      </c>
      <c r="P19" s="60">
        <f t="shared" ref="P19:P20" si="8">ROUND(O19*$B$8,2)</f>
        <v>0.72</v>
      </c>
      <c r="Q19" s="61">
        <f t="shared" ref="Q19:R20" si="9">P19</f>
        <v>0.72</v>
      </c>
      <c r="R19" s="61">
        <f t="shared" si="9"/>
        <v>0.72</v>
      </c>
      <c r="S19" s="60">
        <f t="shared" ref="S19:S20" si="10">ROUND(R19*$B$8,2)</f>
        <v>0.74</v>
      </c>
      <c r="T19" s="61">
        <f t="shared" ref="T19:U20" si="11">S19</f>
        <v>0.74</v>
      </c>
      <c r="U19" s="61">
        <f t="shared" si="11"/>
        <v>0.74</v>
      </c>
      <c r="V19" s="60">
        <f t="shared" ref="V19:V20" si="12">ROUND(U19*$B$8,2)</f>
        <v>0.76</v>
      </c>
      <c r="W19" s="61">
        <f t="shared" ref="W19:X20" si="13">V19</f>
        <v>0.76</v>
      </c>
      <c r="X19" s="61">
        <f t="shared" si="13"/>
        <v>0.76</v>
      </c>
      <c r="Y19" s="60">
        <f t="shared" ref="Y19:Y20" si="14">ROUND(X19*$B$8,2)</f>
        <v>0.78</v>
      </c>
      <c r="Z19" s="61">
        <f t="shared" ref="Z19:AA20" si="15">Y19</f>
        <v>0.78</v>
      </c>
      <c r="AA19" s="61">
        <f t="shared" si="15"/>
        <v>0.78</v>
      </c>
      <c r="AB19" s="60">
        <f t="shared" ref="AB19:AB20" si="16">ROUND(AA19*$B$8,2)</f>
        <v>0.8</v>
      </c>
      <c r="AC19" s="61">
        <f t="shared" ref="AC19:AD20" si="17">AB19</f>
        <v>0.8</v>
      </c>
      <c r="AD19" s="61">
        <f t="shared" si="17"/>
        <v>0.8</v>
      </c>
      <c r="AE19" s="60">
        <f t="shared" ref="AE19:AE20" si="18">ROUND(AD19*$B$8,2)</f>
        <v>0.82</v>
      </c>
      <c r="AF19" s="61">
        <f t="shared" ref="AF19:AF20" si="19">AE19</f>
        <v>0.82</v>
      </c>
      <c r="AG19" s="61"/>
    </row>
    <row r="20" spans="1:35">
      <c r="A20" s="41" t="s">
        <v>82</v>
      </c>
      <c r="B20" s="58">
        <v>0.98</v>
      </c>
      <c r="C20" s="59">
        <f>B20</f>
        <v>0.98</v>
      </c>
      <c r="D20" s="60">
        <f t="shared" si="0"/>
        <v>1</v>
      </c>
      <c r="E20" s="61">
        <f t="shared" si="1"/>
        <v>1</v>
      </c>
      <c r="F20" s="61">
        <f t="shared" si="1"/>
        <v>1</v>
      </c>
      <c r="G20" s="60">
        <f t="shared" si="2"/>
        <v>1.03</v>
      </c>
      <c r="H20" s="61">
        <f t="shared" si="3"/>
        <v>1.03</v>
      </c>
      <c r="I20" s="61">
        <f t="shared" si="3"/>
        <v>1.03</v>
      </c>
      <c r="J20" s="60">
        <f t="shared" si="4"/>
        <v>1.06</v>
      </c>
      <c r="K20" s="61">
        <f t="shared" si="5"/>
        <v>1.06</v>
      </c>
      <c r="L20" s="61">
        <f t="shared" si="5"/>
        <v>1.06</v>
      </c>
      <c r="M20" s="60">
        <f t="shared" si="6"/>
        <v>1.0900000000000001</v>
      </c>
      <c r="N20" s="61">
        <f t="shared" si="7"/>
        <v>1.0900000000000001</v>
      </c>
      <c r="O20" s="61">
        <f t="shared" si="7"/>
        <v>1.0900000000000001</v>
      </c>
      <c r="P20" s="60">
        <f t="shared" si="8"/>
        <v>1.1200000000000001</v>
      </c>
      <c r="Q20" s="61">
        <f t="shared" si="9"/>
        <v>1.1200000000000001</v>
      </c>
      <c r="R20" s="61">
        <f t="shared" si="9"/>
        <v>1.1200000000000001</v>
      </c>
      <c r="S20" s="60">
        <f t="shared" si="10"/>
        <v>1.1499999999999999</v>
      </c>
      <c r="T20" s="61">
        <f t="shared" si="11"/>
        <v>1.1499999999999999</v>
      </c>
      <c r="U20" s="61">
        <f t="shared" si="11"/>
        <v>1.1499999999999999</v>
      </c>
      <c r="V20" s="60">
        <f t="shared" si="12"/>
        <v>1.18</v>
      </c>
      <c r="W20" s="61">
        <f t="shared" si="13"/>
        <v>1.18</v>
      </c>
      <c r="X20" s="61">
        <f t="shared" si="13"/>
        <v>1.18</v>
      </c>
      <c r="Y20" s="60">
        <f t="shared" si="14"/>
        <v>1.21</v>
      </c>
      <c r="Z20" s="61">
        <f t="shared" si="15"/>
        <v>1.21</v>
      </c>
      <c r="AA20" s="61">
        <f t="shared" si="15"/>
        <v>1.21</v>
      </c>
      <c r="AB20" s="60">
        <f t="shared" si="16"/>
        <v>1.24</v>
      </c>
      <c r="AC20" s="61">
        <f t="shared" si="17"/>
        <v>1.24</v>
      </c>
      <c r="AD20" s="61">
        <f t="shared" si="17"/>
        <v>1.24</v>
      </c>
      <c r="AE20" s="60">
        <f t="shared" si="18"/>
        <v>1.27</v>
      </c>
      <c r="AF20" s="61">
        <f t="shared" si="19"/>
        <v>1.27</v>
      </c>
      <c r="AG20" s="61"/>
    </row>
    <row r="21" spans="1:35">
      <c r="A21" s="41" t="s">
        <v>83</v>
      </c>
      <c r="B21" s="58">
        <v>11.55</v>
      </c>
      <c r="C21" s="59">
        <f>ROUND(B21*B9,2)</f>
        <v>11.72</v>
      </c>
      <c r="D21" s="61">
        <f t="shared" si="1"/>
        <v>11.72</v>
      </c>
      <c r="E21" s="61">
        <f t="shared" si="1"/>
        <v>11.72</v>
      </c>
      <c r="F21" s="59">
        <f>ROUND(E21*$B$8^3,2)</f>
        <v>12.62</v>
      </c>
      <c r="G21" s="61">
        <f t="shared" ref="G21:H22" si="20">F21</f>
        <v>12.62</v>
      </c>
      <c r="H21" s="61">
        <f t="shared" si="20"/>
        <v>12.62</v>
      </c>
      <c r="I21" s="59">
        <f>ROUND(H21*$B$8^3,2)</f>
        <v>13.59</v>
      </c>
      <c r="J21" s="61">
        <f t="shared" ref="J21:K22" si="21">I21</f>
        <v>13.59</v>
      </c>
      <c r="K21" s="61">
        <f t="shared" si="21"/>
        <v>13.59</v>
      </c>
      <c r="L21" s="59">
        <f>ROUND(K21*$B$8^3,2)</f>
        <v>14.63</v>
      </c>
      <c r="M21" s="61">
        <f t="shared" ref="M21:N22" si="22">L21</f>
        <v>14.63</v>
      </c>
      <c r="N21" s="61">
        <f t="shared" si="22"/>
        <v>14.63</v>
      </c>
      <c r="O21" s="59">
        <f>ROUND(N21*$B$8^3,2)</f>
        <v>15.75</v>
      </c>
      <c r="P21" s="61">
        <f t="shared" ref="P21:Q22" si="23">O21</f>
        <v>15.75</v>
      </c>
      <c r="Q21" s="61">
        <f t="shared" si="23"/>
        <v>15.75</v>
      </c>
      <c r="R21" s="59">
        <f>ROUND(Q21*$B$8^3,2)</f>
        <v>16.96</v>
      </c>
      <c r="S21" s="61">
        <f t="shared" ref="S21:T22" si="24">R21</f>
        <v>16.96</v>
      </c>
      <c r="T21" s="61">
        <f t="shared" si="24"/>
        <v>16.96</v>
      </c>
      <c r="U21" s="59">
        <f>ROUND(T21*$B$8^3,2)</f>
        <v>18.260000000000002</v>
      </c>
      <c r="V21" s="61">
        <f t="shared" ref="V21:W22" si="25">U21</f>
        <v>18.260000000000002</v>
      </c>
      <c r="W21" s="61">
        <f t="shared" si="25"/>
        <v>18.260000000000002</v>
      </c>
      <c r="X21" s="59">
        <f>ROUND(W21*$B$8^3,2)</f>
        <v>19.66</v>
      </c>
      <c r="Y21" s="61">
        <f t="shared" ref="Y21:Z22" si="26">X21</f>
        <v>19.66</v>
      </c>
      <c r="Z21" s="61">
        <f t="shared" si="26"/>
        <v>19.66</v>
      </c>
      <c r="AA21" s="59">
        <f>ROUND(Z21*$B$8^3,2)</f>
        <v>21.17</v>
      </c>
      <c r="AB21" s="61">
        <f t="shared" ref="AB21:AC22" si="27">AA21</f>
        <v>21.17</v>
      </c>
      <c r="AC21" s="61">
        <f t="shared" si="27"/>
        <v>21.17</v>
      </c>
      <c r="AD21" s="59">
        <f>ROUND(AC21*$B$8^3,2)</f>
        <v>22.8</v>
      </c>
      <c r="AE21" s="61">
        <f t="shared" ref="AE21:AF22" si="28">AD21</f>
        <v>22.8</v>
      </c>
      <c r="AF21" s="61">
        <f t="shared" si="28"/>
        <v>22.8</v>
      </c>
    </row>
    <row r="22" spans="1:35">
      <c r="A22" s="41" t="s">
        <v>84</v>
      </c>
      <c r="B22" s="62">
        <v>9.19</v>
      </c>
      <c r="C22" s="59">
        <f>ROUND(B22*B9,2)</f>
        <v>9.33</v>
      </c>
      <c r="D22" s="61">
        <f t="shared" si="1"/>
        <v>9.33</v>
      </c>
      <c r="E22" s="61">
        <f t="shared" si="1"/>
        <v>9.33</v>
      </c>
      <c r="F22" s="59">
        <f>ROUND(E22*$B$8^3,2)</f>
        <v>10.050000000000001</v>
      </c>
      <c r="G22" s="61">
        <f t="shared" si="20"/>
        <v>10.050000000000001</v>
      </c>
      <c r="H22" s="61">
        <f t="shared" si="20"/>
        <v>10.050000000000001</v>
      </c>
      <c r="I22" s="59">
        <f>ROUND(H22*$B$8^3,2)</f>
        <v>10.82</v>
      </c>
      <c r="J22" s="61">
        <f t="shared" si="21"/>
        <v>10.82</v>
      </c>
      <c r="K22" s="61">
        <f t="shared" si="21"/>
        <v>10.82</v>
      </c>
      <c r="L22" s="59">
        <f>ROUND(K22*$B$8^3,2)</f>
        <v>11.65</v>
      </c>
      <c r="M22" s="61">
        <f t="shared" si="22"/>
        <v>11.65</v>
      </c>
      <c r="N22" s="61">
        <f t="shared" si="22"/>
        <v>11.65</v>
      </c>
      <c r="O22" s="59">
        <f>ROUND(N22*$B$8^3,2)</f>
        <v>12.55</v>
      </c>
      <c r="P22" s="61">
        <f t="shared" si="23"/>
        <v>12.55</v>
      </c>
      <c r="Q22" s="61">
        <f t="shared" si="23"/>
        <v>12.55</v>
      </c>
      <c r="R22" s="59">
        <f>ROUND(Q22*$B$8^3,2)</f>
        <v>13.51</v>
      </c>
      <c r="S22" s="61">
        <f t="shared" si="24"/>
        <v>13.51</v>
      </c>
      <c r="T22" s="61">
        <f t="shared" si="24"/>
        <v>13.51</v>
      </c>
      <c r="U22" s="59">
        <f>ROUND(T22*$B$8^3,2)</f>
        <v>14.55</v>
      </c>
      <c r="V22" s="61">
        <f t="shared" si="25"/>
        <v>14.55</v>
      </c>
      <c r="W22" s="61">
        <f t="shared" si="25"/>
        <v>14.55</v>
      </c>
      <c r="X22" s="59">
        <f>ROUND(W22*$B$8^3,2)</f>
        <v>15.67</v>
      </c>
      <c r="Y22" s="61">
        <f t="shared" si="26"/>
        <v>15.67</v>
      </c>
      <c r="Z22" s="61">
        <f t="shared" si="26"/>
        <v>15.67</v>
      </c>
      <c r="AA22" s="59">
        <f>ROUND(Z22*$B$8^3,2)</f>
        <v>16.87</v>
      </c>
      <c r="AB22" s="61">
        <f t="shared" si="27"/>
        <v>16.87</v>
      </c>
      <c r="AC22" s="61">
        <f t="shared" si="27"/>
        <v>16.87</v>
      </c>
      <c r="AD22" s="59">
        <f>ROUND(AC22*$B$8^3,2)</f>
        <v>18.170000000000002</v>
      </c>
      <c r="AE22" s="61">
        <f t="shared" si="28"/>
        <v>18.170000000000002</v>
      </c>
      <c r="AF22" s="61">
        <f t="shared" si="28"/>
        <v>18.170000000000002</v>
      </c>
    </row>
    <row r="23" spans="1:35">
      <c r="B23" s="53"/>
      <c r="D23" s="41"/>
      <c r="H23" s="41"/>
      <c r="J23" s="63"/>
      <c r="L23" s="63"/>
    </row>
    <row r="24" spans="1:35">
      <c r="B24" s="64"/>
      <c r="C24" s="65"/>
      <c r="D24" s="66"/>
      <c r="E24" s="66"/>
      <c r="F24" s="66"/>
      <c r="G24" s="66"/>
      <c r="H24" s="66"/>
      <c r="I24" s="66"/>
      <c r="J24" s="63"/>
      <c r="L24" s="63"/>
      <c r="M24" s="63"/>
      <c r="N24" s="63"/>
      <c r="O24" s="63"/>
      <c r="P24" s="67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D24" s="63"/>
      <c r="AE24" s="63"/>
      <c r="AF24" s="63"/>
      <c r="AH24" s="63"/>
    </row>
    <row r="25" spans="1:35">
      <c r="B25" s="64"/>
      <c r="C25" s="68" t="s">
        <v>85</v>
      </c>
      <c r="D25" s="68" t="s">
        <v>85</v>
      </c>
      <c r="E25" s="68" t="s">
        <v>85</v>
      </c>
      <c r="F25" s="68" t="s">
        <v>85</v>
      </c>
      <c r="G25" s="68" t="s">
        <v>85</v>
      </c>
      <c r="H25" s="68" t="s">
        <v>85</v>
      </c>
      <c r="I25" s="68" t="s">
        <v>85</v>
      </c>
      <c r="J25" s="68" t="s">
        <v>85</v>
      </c>
      <c r="K25" s="68" t="s">
        <v>85</v>
      </c>
      <c r="L25" s="68" t="s">
        <v>85</v>
      </c>
      <c r="M25" s="68" t="s">
        <v>85</v>
      </c>
      <c r="N25" s="68" t="s">
        <v>85</v>
      </c>
      <c r="O25" s="68" t="s">
        <v>85</v>
      </c>
      <c r="P25" s="68" t="s">
        <v>85</v>
      </c>
      <c r="Q25" s="68" t="s">
        <v>85</v>
      </c>
      <c r="R25" s="68" t="s">
        <v>85</v>
      </c>
      <c r="S25" s="68" t="s">
        <v>85</v>
      </c>
      <c r="T25" s="68" t="s">
        <v>85</v>
      </c>
      <c r="U25" s="68" t="s">
        <v>85</v>
      </c>
      <c r="V25" s="68" t="s">
        <v>85</v>
      </c>
      <c r="W25" s="68" t="s">
        <v>85</v>
      </c>
      <c r="X25" s="68" t="s">
        <v>85</v>
      </c>
      <c r="Y25" s="68" t="s">
        <v>85</v>
      </c>
      <c r="Z25" s="68" t="s">
        <v>85</v>
      </c>
      <c r="AA25" s="68" t="s">
        <v>85</v>
      </c>
      <c r="AB25" s="68" t="s">
        <v>85</v>
      </c>
      <c r="AC25" s="68" t="s">
        <v>85</v>
      </c>
      <c r="AD25" s="68" t="s">
        <v>85</v>
      </c>
      <c r="AE25" s="68" t="s">
        <v>85</v>
      </c>
      <c r="AF25" s="68" t="s">
        <v>85</v>
      </c>
      <c r="AH25" s="63"/>
    </row>
    <row r="26" spans="1:35">
      <c r="B26" s="69" t="s">
        <v>86</v>
      </c>
      <c r="C26" s="69" t="str">
        <f>"FYE "&amp;B11</f>
        <v>FYE 2013</v>
      </c>
      <c r="D26" s="69" t="str">
        <f t="shared" ref="D26:AF26" si="29">"FYE "&amp;$B$11+C27</f>
        <v>FYE 2014</v>
      </c>
      <c r="E26" s="69" t="str">
        <f t="shared" si="29"/>
        <v>FYE 2015</v>
      </c>
      <c r="F26" s="69" t="str">
        <f t="shared" si="29"/>
        <v>FYE 2016</v>
      </c>
      <c r="G26" s="69" t="str">
        <f t="shared" si="29"/>
        <v>FYE 2017</v>
      </c>
      <c r="H26" s="69" t="str">
        <f t="shared" si="29"/>
        <v>FYE 2018</v>
      </c>
      <c r="I26" s="69" t="str">
        <f t="shared" si="29"/>
        <v>FYE 2019</v>
      </c>
      <c r="J26" s="69" t="str">
        <f t="shared" si="29"/>
        <v>FYE 2020</v>
      </c>
      <c r="K26" s="69" t="str">
        <f t="shared" si="29"/>
        <v>FYE 2021</v>
      </c>
      <c r="L26" s="69" t="str">
        <f t="shared" si="29"/>
        <v>FYE 2022</v>
      </c>
      <c r="M26" s="69" t="str">
        <f t="shared" si="29"/>
        <v>FYE 2023</v>
      </c>
      <c r="N26" s="69" t="str">
        <f t="shared" si="29"/>
        <v>FYE 2024</v>
      </c>
      <c r="O26" s="69" t="str">
        <f t="shared" si="29"/>
        <v>FYE 2025</v>
      </c>
      <c r="P26" s="69" t="str">
        <f t="shared" si="29"/>
        <v>FYE 2026</v>
      </c>
      <c r="Q26" s="69" t="str">
        <f t="shared" si="29"/>
        <v>FYE 2027</v>
      </c>
      <c r="R26" s="69" t="str">
        <f t="shared" si="29"/>
        <v>FYE 2028</v>
      </c>
      <c r="S26" s="69" t="str">
        <f t="shared" si="29"/>
        <v>FYE 2029</v>
      </c>
      <c r="T26" s="69" t="str">
        <f t="shared" si="29"/>
        <v>FYE 2030</v>
      </c>
      <c r="U26" s="69" t="str">
        <f t="shared" si="29"/>
        <v>FYE 2031</v>
      </c>
      <c r="V26" s="69" t="str">
        <f t="shared" si="29"/>
        <v>FYE 2032</v>
      </c>
      <c r="W26" s="69" t="str">
        <f t="shared" si="29"/>
        <v>FYE 2033</v>
      </c>
      <c r="X26" s="69" t="str">
        <f t="shared" si="29"/>
        <v>FYE 2034</v>
      </c>
      <c r="Y26" s="69" t="str">
        <f t="shared" si="29"/>
        <v>FYE 2035</v>
      </c>
      <c r="Z26" s="69" t="str">
        <f t="shared" si="29"/>
        <v>FYE 2036</v>
      </c>
      <c r="AA26" s="69" t="str">
        <f t="shared" si="29"/>
        <v>FYE 2037</v>
      </c>
      <c r="AB26" s="69" t="str">
        <f t="shared" si="29"/>
        <v>FYE 2038</v>
      </c>
      <c r="AC26" s="69" t="str">
        <f t="shared" si="29"/>
        <v>FYE 2039</v>
      </c>
      <c r="AD26" s="69" t="str">
        <f t="shared" si="29"/>
        <v>FYE 2040</v>
      </c>
      <c r="AE26" s="69" t="str">
        <f t="shared" si="29"/>
        <v>FYE 2041</v>
      </c>
      <c r="AF26" s="69" t="str">
        <f t="shared" si="29"/>
        <v>FYE 2042</v>
      </c>
      <c r="AG26" s="70" t="s">
        <v>87</v>
      </c>
      <c r="AH26" s="71" t="s">
        <v>53</v>
      </c>
    </row>
    <row r="27" spans="1:35">
      <c r="A27" s="47" t="s">
        <v>88</v>
      </c>
      <c r="B27" s="69">
        <v>0</v>
      </c>
      <c r="C27" s="69">
        <v>1</v>
      </c>
      <c r="D27" s="69">
        <f t="shared" ref="D27:AF27" si="30">+C27+1</f>
        <v>2</v>
      </c>
      <c r="E27" s="69">
        <f t="shared" si="30"/>
        <v>3</v>
      </c>
      <c r="F27" s="69">
        <f t="shared" si="30"/>
        <v>4</v>
      </c>
      <c r="G27" s="69">
        <f t="shared" si="30"/>
        <v>5</v>
      </c>
      <c r="H27" s="69">
        <f t="shared" si="30"/>
        <v>6</v>
      </c>
      <c r="I27" s="69">
        <f t="shared" si="30"/>
        <v>7</v>
      </c>
      <c r="J27" s="69">
        <f t="shared" si="30"/>
        <v>8</v>
      </c>
      <c r="K27" s="69">
        <f t="shared" si="30"/>
        <v>9</v>
      </c>
      <c r="L27" s="69">
        <f t="shared" si="30"/>
        <v>10</v>
      </c>
      <c r="M27" s="69">
        <f>+L27+1</f>
        <v>11</v>
      </c>
      <c r="N27" s="69">
        <f t="shared" ref="N27:AC27" si="31">+M27+1</f>
        <v>12</v>
      </c>
      <c r="O27" s="69">
        <f t="shared" si="31"/>
        <v>13</v>
      </c>
      <c r="P27" s="69">
        <f t="shared" si="31"/>
        <v>14</v>
      </c>
      <c r="Q27" s="69">
        <f t="shared" si="31"/>
        <v>15</v>
      </c>
      <c r="R27" s="69">
        <f t="shared" si="31"/>
        <v>16</v>
      </c>
      <c r="S27" s="69">
        <f t="shared" si="31"/>
        <v>17</v>
      </c>
      <c r="T27" s="69">
        <f t="shared" si="31"/>
        <v>18</v>
      </c>
      <c r="U27" s="69">
        <f t="shared" si="31"/>
        <v>19</v>
      </c>
      <c r="V27" s="69">
        <f t="shared" si="31"/>
        <v>20</v>
      </c>
      <c r="W27" s="69">
        <f t="shared" si="31"/>
        <v>21</v>
      </c>
      <c r="X27" s="69">
        <f t="shared" si="31"/>
        <v>22</v>
      </c>
      <c r="Y27" s="69">
        <f t="shared" si="31"/>
        <v>23</v>
      </c>
      <c r="Z27" s="69">
        <f t="shared" si="31"/>
        <v>24</v>
      </c>
      <c r="AA27" s="69">
        <f t="shared" si="31"/>
        <v>25</v>
      </c>
      <c r="AB27" s="69">
        <f t="shared" si="31"/>
        <v>26</v>
      </c>
      <c r="AC27" s="69">
        <f t="shared" si="31"/>
        <v>27</v>
      </c>
      <c r="AD27" s="69">
        <f t="shared" si="30"/>
        <v>28</v>
      </c>
      <c r="AE27" s="69">
        <f t="shared" si="30"/>
        <v>29</v>
      </c>
      <c r="AF27" s="69">
        <f t="shared" si="30"/>
        <v>30</v>
      </c>
      <c r="AG27" s="72">
        <f>AF27</f>
        <v>30</v>
      </c>
      <c r="AH27" s="73" t="s">
        <v>89</v>
      </c>
      <c r="AI27" s="74"/>
    </row>
    <row r="28" spans="1:35">
      <c r="A28" s="41" t="s">
        <v>90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6">
        <f>M28/30*M27</f>
        <v>0</v>
      </c>
      <c r="AH28" s="76">
        <f>SUM(B28:AF28)-AG28</f>
        <v>0</v>
      </c>
    </row>
    <row r="29" spans="1:35">
      <c r="A29" s="41" t="s">
        <v>90</v>
      </c>
      <c r="B29" s="75"/>
      <c r="C29" s="75"/>
      <c r="D29" s="75"/>
      <c r="E29" s="77"/>
      <c r="F29" s="77"/>
      <c r="G29" s="77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>
        <f>AF29/30*AF27</f>
        <v>0</v>
      </c>
      <c r="AH29" s="76">
        <f>SUM(B29:AF29)-AG29</f>
        <v>0</v>
      </c>
    </row>
    <row r="30" spans="1:35">
      <c r="A30" s="78" t="s">
        <v>91</v>
      </c>
      <c r="B30" s="75">
        <v>0</v>
      </c>
      <c r="C30" s="77"/>
      <c r="D30" s="77"/>
      <c r="E30" s="77"/>
      <c r="F30" s="77"/>
      <c r="G30" s="77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>
        <f>B30*B8^AG27</f>
        <v>0</v>
      </c>
      <c r="AH30" s="76">
        <f>AG30</f>
        <v>0</v>
      </c>
    </row>
    <row r="31" spans="1:35">
      <c r="A31" s="78" t="s">
        <v>92</v>
      </c>
      <c r="B31" s="79">
        <v>0</v>
      </c>
      <c r="C31" s="77"/>
      <c r="D31" s="77"/>
      <c r="E31" s="77"/>
      <c r="F31" s="77"/>
      <c r="G31" s="77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>
        <v>0</v>
      </c>
      <c r="AH31" s="76">
        <f>SUM(B31:AF31)-AG31</f>
        <v>0</v>
      </c>
    </row>
    <row r="32" spans="1:35">
      <c r="A32" s="80" t="s">
        <v>93</v>
      </c>
      <c r="B32" s="81">
        <f t="shared" ref="B32:AH32" si="32">SUM(B28:B31)</f>
        <v>0</v>
      </c>
      <c r="C32" s="81">
        <f t="shared" si="32"/>
        <v>0</v>
      </c>
      <c r="D32" s="81">
        <f>SUM(D28:D31)</f>
        <v>0</v>
      </c>
      <c r="E32" s="81">
        <f t="shared" si="32"/>
        <v>0</v>
      </c>
      <c r="F32" s="81">
        <f t="shared" si="32"/>
        <v>0</v>
      </c>
      <c r="G32" s="81">
        <f t="shared" si="32"/>
        <v>0</v>
      </c>
      <c r="H32" s="81">
        <f t="shared" si="32"/>
        <v>0</v>
      </c>
      <c r="I32" s="81">
        <f t="shared" si="32"/>
        <v>0</v>
      </c>
      <c r="J32" s="81">
        <f t="shared" si="32"/>
        <v>0</v>
      </c>
      <c r="K32" s="81">
        <f t="shared" si="32"/>
        <v>0</v>
      </c>
      <c r="L32" s="81">
        <f t="shared" si="32"/>
        <v>0</v>
      </c>
      <c r="M32" s="81">
        <f t="shared" si="32"/>
        <v>0</v>
      </c>
      <c r="N32" s="81">
        <f t="shared" ref="N32:AD32" si="33">SUM(N28:N31)</f>
        <v>0</v>
      </c>
      <c r="O32" s="81">
        <f t="shared" si="33"/>
        <v>0</v>
      </c>
      <c r="P32" s="81">
        <f t="shared" si="33"/>
        <v>0</v>
      </c>
      <c r="Q32" s="81">
        <f t="shared" si="33"/>
        <v>0</v>
      </c>
      <c r="R32" s="81">
        <f t="shared" si="33"/>
        <v>0</v>
      </c>
      <c r="S32" s="81">
        <f t="shared" si="33"/>
        <v>0</v>
      </c>
      <c r="T32" s="81">
        <f t="shared" si="33"/>
        <v>0</v>
      </c>
      <c r="U32" s="81">
        <f t="shared" si="33"/>
        <v>0</v>
      </c>
      <c r="V32" s="81">
        <f t="shared" si="33"/>
        <v>0</v>
      </c>
      <c r="W32" s="81">
        <f t="shared" si="33"/>
        <v>0</v>
      </c>
      <c r="X32" s="81">
        <f t="shared" si="33"/>
        <v>0</v>
      </c>
      <c r="Y32" s="81">
        <f t="shared" si="33"/>
        <v>0</v>
      </c>
      <c r="Z32" s="81">
        <f t="shared" si="33"/>
        <v>0</v>
      </c>
      <c r="AA32" s="81">
        <f t="shared" si="33"/>
        <v>0</v>
      </c>
      <c r="AB32" s="81">
        <f t="shared" si="33"/>
        <v>0</v>
      </c>
      <c r="AC32" s="81">
        <f t="shared" si="33"/>
        <v>0</v>
      </c>
      <c r="AD32" s="81">
        <f t="shared" si="33"/>
        <v>0</v>
      </c>
      <c r="AE32" s="81">
        <f t="shared" si="32"/>
        <v>0</v>
      </c>
      <c r="AF32" s="81">
        <f t="shared" si="32"/>
        <v>0</v>
      </c>
      <c r="AG32" s="81">
        <f t="shared" si="32"/>
        <v>0</v>
      </c>
      <c r="AH32" s="82">
        <f t="shared" si="32"/>
        <v>0</v>
      </c>
    </row>
    <row r="33" spans="1:35">
      <c r="A33" s="83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  <row r="34" spans="1:35">
      <c r="A34" s="84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</row>
    <row r="35" spans="1:35">
      <c r="A35" s="47" t="s">
        <v>94</v>
      </c>
      <c r="B35" s="76"/>
      <c r="C35" s="77"/>
      <c r="D35" s="77"/>
      <c r="E35" s="77"/>
      <c r="F35" s="77"/>
      <c r="G35" s="77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</row>
    <row r="36" spans="1:35">
      <c r="A36" s="85" t="s">
        <v>95</v>
      </c>
      <c r="B36" s="76"/>
      <c r="C36" s="86">
        <f t="shared" ref="C36:AF36" si="34">C19*$B$14</f>
        <v>27900</v>
      </c>
      <c r="D36" s="86">
        <f t="shared" si="34"/>
        <v>28800</v>
      </c>
      <c r="E36" s="86">
        <f t="shared" si="34"/>
        <v>28800</v>
      </c>
      <c r="F36" s="86">
        <f t="shared" si="34"/>
        <v>28800</v>
      </c>
      <c r="G36" s="86">
        <f t="shared" si="34"/>
        <v>29700</v>
      </c>
      <c r="H36" s="86">
        <f t="shared" si="34"/>
        <v>29700</v>
      </c>
      <c r="I36" s="86">
        <f t="shared" si="34"/>
        <v>29700</v>
      </c>
      <c r="J36" s="86">
        <f t="shared" si="34"/>
        <v>30600.000000000004</v>
      </c>
      <c r="K36" s="86">
        <f t="shared" si="34"/>
        <v>30600.000000000004</v>
      </c>
      <c r="L36" s="86">
        <f t="shared" si="34"/>
        <v>30600.000000000004</v>
      </c>
      <c r="M36" s="86">
        <f t="shared" si="34"/>
        <v>31499.999999999996</v>
      </c>
      <c r="N36" s="86">
        <f t="shared" si="34"/>
        <v>31499.999999999996</v>
      </c>
      <c r="O36" s="86">
        <f t="shared" si="34"/>
        <v>31499.999999999996</v>
      </c>
      <c r="P36" s="86">
        <f t="shared" si="34"/>
        <v>32400</v>
      </c>
      <c r="Q36" s="86">
        <f t="shared" si="34"/>
        <v>32400</v>
      </c>
      <c r="R36" s="86">
        <f t="shared" si="34"/>
        <v>32400</v>
      </c>
      <c r="S36" s="86">
        <f t="shared" si="34"/>
        <v>33300</v>
      </c>
      <c r="T36" s="86">
        <f t="shared" si="34"/>
        <v>33300</v>
      </c>
      <c r="U36" s="86">
        <f t="shared" si="34"/>
        <v>33300</v>
      </c>
      <c r="V36" s="86">
        <f t="shared" si="34"/>
        <v>34200</v>
      </c>
      <c r="W36" s="86">
        <f t="shared" si="34"/>
        <v>34200</v>
      </c>
      <c r="X36" s="86">
        <f t="shared" si="34"/>
        <v>34200</v>
      </c>
      <c r="Y36" s="86">
        <f t="shared" si="34"/>
        <v>35100</v>
      </c>
      <c r="Z36" s="86">
        <f t="shared" si="34"/>
        <v>35100</v>
      </c>
      <c r="AA36" s="86">
        <f t="shared" si="34"/>
        <v>35100</v>
      </c>
      <c r="AB36" s="86">
        <f t="shared" si="34"/>
        <v>36000</v>
      </c>
      <c r="AC36" s="86">
        <f t="shared" si="34"/>
        <v>36000</v>
      </c>
      <c r="AD36" s="86">
        <f t="shared" si="34"/>
        <v>36000</v>
      </c>
      <c r="AE36" s="86">
        <f t="shared" si="34"/>
        <v>36900</v>
      </c>
      <c r="AF36" s="86">
        <f t="shared" si="34"/>
        <v>36900</v>
      </c>
      <c r="AG36" s="87">
        <v>0</v>
      </c>
      <c r="AH36" s="76">
        <f>SUM(B36:AG36)</f>
        <v>976500</v>
      </c>
    </row>
    <row r="37" spans="1:35">
      <c r="A37" s="45" t="s">
        <v>96</v>
      </c>
      <c r="B37" s="76"/>
      <c r="C37" s="86">
        <f t="shared" ref="C37:AF37" si="35">C20*$B$15</f>
        <v>83300</v>
      </c>
      <c r="D37" s="86">
        <f t="shared" si="35"/>
        <v>85000</v>
      </c>
      <c r="E37" s="86">
        <f t="shared" si="35"/>
        <v>85000</v>
      </c>
      <c r="F37" s="86">
        <f t="shared" si="35"/>
        <v>85000</v>
      </c>
      <c r="G37" s="86">
        <f t="shared" si="35"/>
        <v>87550</v>
      </c>
      <c r="H37" s="86">
        <f t="shared" si="35"/>
        <v>87550</v>
      </c>
      <c r="I37" s="86">
        <f t="shared" si="35"/>
        <v>87550</v>
      </c>
      <c r="J37" s="86">
        <f t="shared" si="35"/>
        <v>90100</v>
      </c>
      <c r="K37" s="86">
        <f t="shared" si="35"/>
        <v>90100</v>
      </c>
      <c r="L37" s="86">
        <f t="shared" si="35"/>
        <v>90100</v>
      </c>
      <c r="M37" s="86">
        <f t="shared" si="35"/>
        <v>92650</v>
      </c>
      <c r="N37" s="86">
        <f t="shared" si="35"/>
        <v>92650</v>
      </c>
      <c r="O37" s="86">
        <f t="shared" si="35"/>
        <v>92650</v>
      </c>
      <c r="P37" s="86">
        <f t="shared" si="35"/>
        <v>95200.000000000015</v>
      </c>
      <c r="Q37" s="86">
        <f t="shared" si="35"/>
        <v>95200.000000000015</v>
      </c>
      <c r="R37" s="86">
        <f t="shared" si="35"/>
        <v>95200.000000000015</v>
      </c>
      <c r="S37" s="86">
        <f t="shared" si="35"/>
        <v>97749.999999999985</v>
      </c>
      <c r="T37" s="86">
        <f t="shared" si="35"/>
        <v>97749.999999999985</v>
      </c>
      <c r="U37" s="86">
        <f t="shared" si="35"/>
        <v>97749.999999999985</v>
      </c>
      <c r="V37" s="86">
        <f t="shared" si="35"/>
        <v>100300</v>
      </c>
      <c r="W37" s="86">
        <f t="shared" si="35"/>
        <v>100300</v>
      </c>
      <c r="X37" s="86">
        <f t="shared" si="35"/>
        <v>100300</v>
      </c>
      <c r="Y37" s="86">
        <f t="shared" si="35"/>
        <v>102850</v>
      </c>
      <c r="Z37" s="86">
        <f t="shared" si="35"/>
        <v>102850</v>
      </c>
      <c r="AA37" s="86">
        <f t="shared" si="35"/>
        <v>102850</v>
      </c>
      <c r="AB37" s="86">
        <f t="shared" si="35"/>
        <v>105400</v>
      </c>
      <c r="AC37" s="86">
        <f t="shared" si="35"/>
        <v>105400</v>
      </c>
      <c r="AD37" s="86">
        <f t="shared" si="35"/>
        <v>105400</v>
      </c>
      <c r="AE37" s="86">
        <f t="shared" si="35"/>
        <v>107950</v>
      </c>
      <c r="AF37" s="86">
        <f t="shared" si="35"/>
        <v>107950</v>
      </c>
      <c r="AG37" s="87">
        <v>0</v>
      </c>
      <c r="AH37" s="76">
        <f>SUM(B37:AG37)</f>
        <v>2869600</v>
      </c>
    </row>
    <row r="38" spans="1:35">
      <c r="A38" s="45" t="s">
        <v>97</v>
      </c>
      <c r="B38" s="76"/>
      <c r="C38" s="86">
        <f t="shared" ref="C38:AF38" si="36">C21*$B$16</f>
        <v>0</v>
      </c>
      <c r="D38" s="86">
        <f t="shared" si="36"/>
        <v>0</v>
      </c>
      <c r="E38" s="86">
        <f t="shared" si="36"/>
        <v>0</v>
      </c>
      <c r="F38" s="86">
        <f t="shared" si="36"/>
        <v>0</v>
      </c>
      <c r="G38" s="86">
        <v>-250000</v>
      </c>
      <c r="H38" s="86">
        <f t="shared" si="36"/>
        <v>0</v>
      </c>
      <c r="I38" s="86">
        <f t="shared" si="36"/>
        <v>0</v>
      </c>
      <c r="J38" s="86">
        <f t="shared" si="36"/>
        <v>0</v>
      </c>
      <c r="K38" s="86">
        <f t="shared" si="36"/>
        <v>0</v>
      </c>
      <c r="L38" s="86">
        <f t="shared" si="36"/>
        <v>0</v>
      </c>
      <c r="M38" s="86">
        <f t="shared" si="36"/>
        <v>0</v>
      </c>
      <c r="N38" s="86">
        <f t="shared" si="36"/>
        <v>0</v>
      </c>
      <c r="O38" s="86">
        <f t="shared" si="36"/>
        <v>0</v>
      </c>
      <c r="P38" s="86">
        <f t="shared" si="36"/>
        <v>0</v>
      </c>
      <c r="Q38" s="86">
        <f t="shared" si="36"/>
        <v>0</v>
      </c>
      <c r="R38" s="86">
        <f t="shared" si="36"/>
        <v>0</v>
      </c>
      <c r="S38" s="86">
        <f t="shared" si="36"/>
        <v>0</v>
      </c>
      <c r="T38" s="86">
        <f t="shared" si="36"/>
        <v>0</v>
      </c>
      <c r="U38" s="86">
        <f t="shared" si="36"/>
        <v>0</v>
      </c>
      <c r="V38" s="86">
        <f t="shared" si="36"/>
        <v>0</v>
      </c>
      <c r="W38" s="86">
        <f t="shared" si="36"/>
        <v>0</v>
      </c>
      <c r="X38" s="86">
        <f t="shared" si="36"/>
        <v>0</v>
      </c>
      <c r="Y38" s="86">
        <f t="shared" si="36"/>
        <v>0</v>
      </c>
      <c r="Z38" s="86">
        <f t="shared" si="36"/>
        <v>0</v>
      </c>
      <c r="AA38" s="86">
        <f t="shared" si="36"/>
        <v>0</v>
      </c>
      <c r="AB38" s="86">
        <f t="shared" si="36"/>
        <v>0</v>
      </c>
      <c r="AC38" s="86">
        <f t="shared" si="36"/>
        <v>0</v>
      </c>
      <c r="AD38" s="86">
        <f t="shared" si="36"/>
        <v>0</v>
      </c>
      <c r="AE38" s="86">
        <f t="shared" si="36"/>
        <v>0</v>
      </c>
      <c r="AF38" s="86">
        <f t="shared" si="36"/>
        <v>0</v>
      </c>
      <c r="AG38" s="87">
        <v>0</v>
      </c>
      <c r="AH38" s="76">
        <f t="shared" ref="AH38:AH40" si="37">SUM(B38:AG38)</f>
        <v>-250000</v>
      </c>
    </row>
    <row r="39" spans="1:35">
      <c r="A39" s="41" t="s">
        <v>98</v>
      </c>
      <c r="B39" s="76"/>
      <c r="C39" s="86">
        <f t="shared" ref="C39:AF39" si="38">C22*$B$17</f>
        <v>0</v>
      </c>
      <c r="D39" s="86">
        <f t="shared" si="38"/>
        <v>0</v>
      </c>
      <c r="E39" s="86">
        <f t="shared" si="38"/>
        <v>0</v>
      </c>
      <c r="F39" s="86">
        <f t="shared" si="38"/>
        <v>0</v>
      </c>
      <c r="G39" s="86">
        <f t="shared" si="38"/>
        <v>0</v>
      </c>
      <c r="H39" s="86">
        <f t="shared" si="38"/>
        <v>0</v>
      </c>
      <c r="I39" s="86">
        <f t="shared" si="38"/>
        <v>0</v>
      </c>
      <c r="J39" s="86">
        <f t="shared" si="38"/>
        <v>0</v>
      </c>
      <c r="K39" s="86">
        <f t="shared" si="38"/>
        <v>0</v>
      </c>
      <c r="L39" s="86">
        <f t="shared" si="38"/>
        <v>0</v>
      </c>
      <c r="M39" s="86">
        <f t="shared" si="38"/>
        <v>0</v>
      </c>
      <c r="N39" s="86">
        <f t="shared" si="38"/>
        <v>0</v>
      </c>
      <c r="O39" s="86">
        <f t="shared" si="38"/>
        <v>0</v>
      </c>
      <c r="P39" s="86">
        <f t="shared" si="38"/>
        <v>0</v>
      </c>
      <c r="Q39" s="86">
        <f t="shared" si="38"/>
        <v>0</v>
      </c>
      <c r="R39" s="86">
        <f t="shared" si="38"/>
        <v>0</v>
      </c>
      <c r="S39" s="86">
        <f t="shared" si="38"/>
        <v>0</v>
      </c>
      <c r="T39" s="86">
        <f t="shared" si="38"/>
        <v>0</v>
      </c>
      <c r="U39" s="86">
        <f t="shared" si="38"/>
        <v>0</v>
      </c>
      <c r="V39" s="86">
        <f t="shared" si="38"/>
        <v>0</v>
      </c>
      <c r="W39" s="86">
        <f t="shared" si="38"/>
        <v>0</v>
      </c>
      <c r="X39" s="86">
        <f t="shared" si="38"/>
        <v>0</v>
      </c>
      <c r="Y39" s="86">
        <f t="shared" si="38"/>
        <v>0</v>
      </c>
      <c r="Z39" s="86">
        <f t="shared" si="38"/>
        <v>0</v>
      </c>
      <c r="AA39" s="86">
        <f t="shared" si="38"/>
        <v>0</v>
      </c>
      <c r="AB39" s="86">
        <f t="shared" si="38"/>
        <v>0</v>
      </c>
      <c r="AC39" s="86">
        <f t="shared" si="38"/>
        <v>0</v>
      </c>
      <c r="AD39" s="86">
        <f t="shared" si="38"/>
        <v>0</v>
      </c>
      <c r="AE39" s="86">
        <f t="shared" si="38"/>
        <v>0</v>
      </c>
      <c r="AF39" s="86">
        <f t="shared" si="38"/>
        <v>0</v>
      </c>
      <c r="AG39" s="87">
        <v>0</v>
      </c>
      <c r="AH39" s="76">
        <f t="shared" si="37"/>
        <v>0</v>
      </c>
    </row>
    <row r="40" spans="1:35">
      <c r="B40" s="7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7">
        <v>0</v>
      </c>
      <c r="AH40" s="76">
        <f t="shared" si="37"/>
        <v>0</v>
      </c>
    </row>
    <row r="41" spans="1:35">
      <c r="A41" s="80" t="s">
        <v>99</v>
      </c>
      <c r="B41" s="88">
        <f>SUM(B36:B40)</f>
        <v>0</v>
      </c>
      <c r="C41" s="88">
        <f>SUM(C36:C40)</f>
        <v>111200</v>
      </c>
      <c r="D41" s="88">
        <f t="shared" ref="D41:AF41" si="39">SUM(D36:D40)</f>
        <v>113800</v>
      </c>
      <c r="E41" s="88">
        <f t="shared" si="39"/>
        <v>113800</v>
      </c>
      <c r="F41" s="88">
        <f t="shared" si="39"/>
        <v>113800</v>
      </c>
      <c r="G41" s="88">
        <f t="shared" si="39"/>
        <v>-132750</v>
      </c>
      <c r="H41" s="88">
        <f t="shared" si="39"/>
        <v>117250</v>
      </c>
      <c r="I41" s="88">
        <f t="shared" si="39"/>
        <v>117250</v>
      </c>
      <c r="J41" s="88">
        <f t="shared" si="39"/>
        <v>120700</v>
      </c>
      <c r="K41" s="88">
        <f t="shared" si="39"/>
        <v>120700</v>
      </c>
      <c r="L41" s="88">
        <f t="shared" si="39"/>
        <v>120700</v>
      </c>
      <c r="M41" s="88">
        <f>SUM(M36:M40)</f>
        <v>124150</v>
      </c>
      <c r="N41" s="88">
        <f t="shared" ref="N41:AD41" si="40">SUM(N36:N40)</f>
        <v>124150</v>
      </c>
      <c r="O41" s="88">
        <f t="shared" si="40"/>
        <v>124150</v>
      </c>
      <c r="P41" s="88">
        <f t="shared" si="40"/>
        <v>127600.00000000001</v>
      </c>
      <c r="Q41" s="88">
        <f t="shared" si="40"/>
        <v>127600.00000000001</v>
      </c>
      <c r="R41" s="88">
        <f t="shared" si="40"/>
        <v>127600.00000000001</v>
      </c>
      <c r="S41" s="88">
        <f t="shared" si="40"/>
        <v>131049.99999999999</v>
      </c>
      <c r="T41" s="88">
        <f t="shared" si="40"/>
        <v>131049.99999999999</v>
      </c>
      <c r="U41" s="88">
        <f t="shared" si="40"/>
        <v>131049.99999999999</v>
      </c>
      <c r="V41" s="88">
        <f t="shared" si="40"/>
        <v>134500</v>
      </c>
      <c r="W41" s="88">
        <f t="shared" si="40"/>
        <v>134500</v>
      </c>
      <c r="X41" s="88">
        <f t="shared" si="40"/>
        <v>134500</v>
      </c>
      <c r="Y41" s="88">
        <f t="shared" si="40"/>
        <v>137950</v>
      </c>
      <c r="Z41" s="88">
        <f t="shared" si="40"/>
        <v>137950</v>
      </c>
      <c r="AA41" s="88">
        <f t="shared" si="40"/>
        <v>137950</v>
      </c>
      <c r="AB41" s="88">
        <f t="shared" si="40"/>
        <v>141400</v>
      </c>
      <c r="AC41" s="88">
        <f t="shared" si="40"/>
        <v>141400</v>
      </c>
      <c r="AD41" s="88">
        <f t="shared" si="40"/>
        <v>141400</v>
      </c>
      <c r="AE41" s="88">
        <f t="shared" si="39"/>
        <v>144850</v>
      </c>
      <c r="AF41" s="88">
        <f t="shared" si="39"/>
        <v>144850</v>
      </c>
      <c r="AG41" s="88">
        <f>SUM(AG36:AG40)</f>
        <v>0</v>
      </c>
      <c r="AH41" s="89">
        <f>SUM(AH36:AH40)</f>
        <v>3596100</v>
      </c>
    </row>
    <row r="42" spans="1:35">
      <c r="A42" s="83"/>
      <c r="B42" s="87"/>
      <c r="C42" s="87"/>
      <c r="D42" s="90"/>
      <c r="E42" s="90"/>
      <c r="F42" s="90"/>
      <c r="G42" s="90"/>
      <c r="H42" s="90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</row>
    <row r="43" spans="1:35">
      <c r="B43" s="76"/>
      <c r="C43" s="87"/>
      <c r="D43" s="87"/>
      <c r="E43" s="87"/>
      <c r="F43" s="87"/>
      <c r="G43" s="87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91"/>
      <c r="AH43" s="76"/>
    </row>
    <row r="44" spans="1:35">
      <c r="A44" s="47" t="s">
        <v>100</v>
      </c>
      <c r="B44" s="76"/>
      <c r="C44" s="75"/>
      <c r="D44" s="75"/>
      <c r="E44" s="75"/>
      <c r="F44" s="75"/>
      <c r="G44" s="7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</row>
    <row r="45" spans="1:35" s="45" customFormat="1">
      <c r="A45" s="45" t="s">
        <v>101</v>
      </c>
      <c r="B45" s="92"/>
      <c r="C45" s="93">
        <f t="shared" ref="C45:L47" si="41">B45*$B$8</f>
        <v>0</v>
      </c>
      <c r="D45" s="93">
        <f t="shared" si="41"/>
        <v>0</v>
      </c>
      <c r="E45" s="93">
        <f t="shared" si="41"/>
        <v>0</v>
      </c>
      <c r="F45" s="93">
        <f t="shared" si="41"/>
        <v>0</v>
      </c>
      <c r="G45" s="93">
        <f t="shared" si="41"/>
        <v>0</v>
      </c>
      <c r="H45" s="93">
        <f t="shared" si="41"/>
        <v>0</v>
      </c>
      <c r="I45" s="93">
        <f t="shared" si="41"/>
        <v>0</v>
      </c>
      <c r="J45" s="93">
        <f t="shared" si="41"/>
        <v>0</v>
      </c>
      <c r="K45" s="93">
        <f t="shared" si="41"/>
        <v>0</v>
      </c>
      <c r="L45" s="93">
        <f t="shared" si="41"/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0</v>
      </c>
      <c r="AD45" s="93">
        <f t="shared" ref="AD45:AF46" si="42">AC45*$B$8</f>
        <v>0</v>
      </c>
      <c r="AE45" s="93">
        <f t="shared" si="42"/>
        <v>0</v>
      </c>
      <c r="AF45" s="93">
        <f t="shared" si="42"/>
        <v>0</v>
      </c>
      <c r="AG45" s="93">
        <v>0</v>
      </c>
      <c r="AH45" s="94">
        <f t="shared" ref="AH45:AH48" si="43">SUM(B45:AG45)</f>
        <v>0</v>
      </c>
      <c r="AI45" s="39"/>
    </row>
    <row r="46" spans="1:35">
      <c r="A46" s="45" t="s">
        <v>102</v>
      </c>
      <c r="B46" s="95"/>
      <c r="C46" s="93">
        <f t="shared" si="41"/>
        <v>0</v>
      </c>
      <c r="D46" s="93">
        <f t="shared" si="41"/>
        <v>0</v>
      </c>
      <c r="E46" s="93">
        <f t="shared" si="41"/>
        <v>0</v>
      </c>
      <c r="F46" s="93">
        <f t="shared" si="41"/>
        <v>0</v>
      </c>
      <c r="G46" s="93">
        <f t="shared" si="41"/>
        <v>0</v>
      </c>
      <c r="H46" s="93">
        <f t="shared" si="41"/>
        <v>0</v>
      </c>
      <c r="I46" s="93">
        <f t="shared" si="41"/>
        <v>0</v>
      </c>
      <c r="J46" s="93">
        <f t="shared" si="41"/>
        <v>0</v>
      </c>
      <c r="K46" s="93">
        <f t="shared" si="41"/>
        <v>0</v>
      </c>
      <c r="L46" s="93">
        <f t="shared" si="41"/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f t="shared" si="42"/>
        <v>0</v>
      </c>
      <c r="AE46" s="93">
        <f t="shared" si="42"/>
        <v>0</v>
      </c>
      <c r="AF46" s="93">
        <f t="shared" si="42"/>
        <v>0</v>
      </c>
      <c r="AG46" s="93">
        <v>0</v>
      </c>
      <c r="AH46" s="94">
        <f t="shared" si="43"/>
        <v>0</v>
      </c>
    </row>
    <row r="47" spans="1:35">
      <c r="A47" s="39"/>
      <c r="B47" s="95"/>
      <c r="C47" s="93">
        <v>0</v>
      </c>
      <c r="D47" s="93">
        <f t="shared" si="41"/>
        <v>0</v>
      </c>
      <c r="E47" s="93">
        <f t="shared" si="41"/>
        <v>0</v>
      </c>
      <c r="F47" s="93">
        <f t="shared" si="41"/>
        <v>0</v>
      </c>
      <c r="G47" s="93">
        <f t="shared" si="41"/>
        <v>0</v>
      </c>
      <c r="H47" s="93">
        <f t="shared" si="41"/>
        <v>0</v>
      </c>
      <c r="I47" s="93">
        <f t="shared" si="41"/>
        <v>0</v>
      </c>
      <c r="J47" s="93">
        <f t="shared" si="41"/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  <c r="AH47" s="94">
        <f t="shared" si="43"/>
        <v>0</v>
      </c>
    </row>
    <row r="48" spans="1:35">
      <c r="A48" s="78"/>
      <c r="B48" s="76"/>
      <c r="C48" s="9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76">
        <f t="shared" si="43"/>
        <v>0</v>
      </c>
    </row>
    <row r="49" spans="1:55">
      <c r="A49" s="80" t="s">
        <v>103</v>
      </c>
      <c r="B49" s="97">
        <f t="shared" ref="B49:AH49" si="44">SUM(B45:B48)</f>
        <v>0</v>
      </c>
      <c r="C49" s="97">
        <f t="shared" si="44"/>
        <v>0</v>
      </c>
      <c r="D49" s="97">
        <f t="shared" si="44"/>
        <v>0</v>
      </c>
      <c r="E49" s="97">
        <f t="shared" si="44"/>
        <v>0</v>
      </c>
      <c r="F49" s="97">
        <f t="shared" si="44"/>
        <v>0</v>
      </c>
      <c r="G49" s="97">
        <f t="shared" si="44"/>
        <v>0</v>
      </c>
      <c r="H49" s="97">
        <f t="shared" si="44"/>
        <v>0</v>
      </c>
      <c r="I49" s="97">
        <f t="shared" si="44"/>
        <v>0</v>
      </c>
      <c r="J49" s="97">
        <f t="shared" si="44"/>
        <v>0</v>
      </c>
      <c r="K49" s="97">
        <f t="shared" si="44"/>
        <v>0</v>
      </c>
      <c r="L49" s="97">
        <f t="shared" si="44"/>
        <v>0</v>
      </c>
      <c r="M49" s="97">
        <f t="shared" si="44"/>
        <v>0</v>
      </c>
      <c r="N49" s="97">
        <f t="shared" si="44"/>
        <v>0</v>
      </c>
      <c r="O49" s="97">
        <f t="shared" si="44"/>
        <v>0</v>
      </c>
      <c r="P49" s="97">
        <f t="shared" si="44"/>
        <v>0</v>
      </c>
      <c r="Q49" s="97">
        <f t="shared" si="44"/>
        <v>0</v>
      </c>
      <c r="R49" s="97">
        <f t="shared" si="44"/>
        <v>0</v>
      </c>
      <c r="S49" s="97">
        <f t="shared" si="44"/>
        <v>0</v>
      </c>
      <c r="T49" s="97">
        <f t="shared" si="44"/>
        <v>0</v>
      </c>
      <c r="U49" s="97">
        <f t="shared" si="44"/>
        <v>0</v>
      </c>
      <c r="V49" s="97">
        <f t="shared" si="44"/>
        <v>0</v>
      </c>
      <c r="W49" s="97">
        <f t="shared" si="44"/>
        <v>0</v>
      </c>
      <c r="X49" s="97">
        <f t="shared" si="44"/>
        <v>0</v>
      </c>
      <c r="Y49" s="97">
        <f t="shared" si="44"/>
        <v>0</v>
      </c>
      <c r="Z49" s="97">
        <f t="shared" si="44"/>
        <v>0</v>
      </c>
      <c r="AA49" s="97">
        <f t="shared" si="44"/>
        <v>0</v>
      </c>
      <c r="AB49" s="97">
        <f t="shared" si="44"/>
        <v>0</v>
      </c>
      <c r="AC49" s="97">
        <f t="shared" si="44"/>
        <v>0</v>
      </c>
      <c r="AD49" s="97">
        <f t="shared" si="44"/>
        <v>0</v>
      </c>
      <c r="AE49" s="97">
        <f t="shared" si="44"/>
        <v>0</v>
      </c>
      <c r="AF49" s="97">
        <f t="shared" si="44"/>
        <v>0</v>
      </c>
      <c r="AG49" s="97">
        <f t="shared" si="44"/>
        <v>0</v>
      </c>
      <c r="AH49" s="98">
        <f t="shared" si="44"/>
        <v>0</v>
      </c>
    </row>
    <row r="50" spans="1:55">
      <c r="A50" s="83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</row>
    <row r="51" spans="1:55">
      <c r="B51" s="76"/>
      <c r="C51" s="87"/>
      <c r="D51" s="87"/>
      <c r="E51" s="96"/>
      <c r="F51" s="87"/>
      <c r="G51" s="87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</row>
    <row r="52" spans="1:55">
      <c r="A52" s="47" t="s">
        <v>104</v>
      </c>
      <c r="B52" s="76">
        <f t="shared" ref="B52:AF52" si="45">B41-B49-B32</f>
        <v>0</v>
      </c>
      <c r="C52" s="76">
        <f t="shared" si="45"/>
        <v>111200</v>
      </c>
      <c r="D52" s="76">
        <f t="shared" si="45"/>
        <v>113800</v>
      </c>
      <c r="E52" s="76">
        <f t="shared" si="45"/>
        <v>113800</v>
      </c>
      <c r="F52" s="76">
        <f t="shared" si="45"/>
        <v>113800</v>
      </c>
      <c r="G52" s="76">
        <f t="shared" si="45"/>
        <v>-132750</v>
      </c>
      <c r="H52" s="76">
        <f t="shared" si="45"/>
        <v>117250</v>
      </c>
      <c r="I52" s="76">
        <f t="shared" si="45"/>
        <v>117250</v>
      </c>
      <c r="J52" s="76">
        <f t="shared" si="45"/>
        <v>120700</v>
      </c>
      <c r="K52" s="76">
        <f t="shared" si="45"/>
        <v>120700</v>
      </c>
      <c r="L52" s="76">
        <f t="shared" si="45"/>
        <v>120700</v>
      </c>
      <c r="M52" s="76">
        <f t="shared" si="45"/>
        <v>124150</v>
      </c>
      <c r="N52" s="76">
        <f t="shared" si="45"/>
        <v>124150</v>
      </c>
      <c r="O52" s="76">
        <f t="shared" si="45"/>
        <v>124150</v>
      </c>
      <c r="P52" s="76">
        <f t="shared" si="45"/>
        <v>127600.00000000001</v>
      </c>
      <c r="Q52" s="76">
        <f t="shared" si="45"/>
        <v>127600.00000000001</v>
      </c>
      <c r="R52" s="76">
        <f t="shared" si="45"/>
        <v>127600.00000000001</v>
      </c>
      <c r="S52" s="76">
        <f t="shared" si="45"/>
        <v>131049.99999999999</v>
      </c>
      <c r="T52" s="76">
        <f t="shared" si="45"/>
        <v>131049.99999999999</v>
      </c>
      <c r="U52" s="76">
        <f t="shared" si="45"/>
        <v>131049.99999999999</v>
      </c>
      <c r="V52" s="76">
        <f t="shared" si="45"/>
        <v>134500</v>
      </c>
      <c r="W52" s="76">
        <f t="shared" si="45"/>
        <v>134500</v>
      </c>
      <c r="X52" s="76">
        <f t="shared" si="45"/>
        <v>134500</v>
      </c>
      <c r="Y52" s="76">
        <f t="shared" si="45"/>
        <v>137950</v>
      </c>
      <c r="Z52" s="76">
        <f t="shared" si="45"/>
        <v>137950</v>
      </c>
      <c r="AA52" s="76">
        <f t="shared" si="45"/>
        <v>137950</v>
      </c>
      <c r="AB52" s="76">
        <f t="shared" si="45"/>
        <v>141400</v>
      </c>
      <c r="AC52" s="76">
        <f t="shared" si="45"/>
        <v>141400</v>
      </c>
      <c r="AD52" s="76">
        <f t="shared" si="45"/>
        <v>141400</v>
      </c>
      <c r="AE52" s="76">
        <f t="shared" si="45"/>
        <v>144850</v>
      </c>
      <c r="AF52" s="76">
        <f t="shared" si="45"/>
        <v>144850</v>
      </c>
      <c r="AG52" s="76">
        <f>AG41-AG49+AG32</f>
        <v>0</v>
      </c>
      <c r="AH52" s="76">
        <f>AH41-AH49-AH32</f>
        <v>3596100</v>
      </c>
    </row>
    <row r="53" spans="1:5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</row>
    <row r="54" spans="1:55">
      <c r="A54" s="80" t="s">
        <v>105</v>
      </c>
      <c r="B54" s="76">
        <f>B52</f>
        <v>0</v>
      </c>
      <c r="C54" s="76">
        <f t="shared" ref="C54:AG54" si="46">-PV($B$7,C27,,C52,0)</f>
        <v>101090.90909090909</v>
      </c>
      <c r="D54" s="76">
        <f t="shared" si="46"/>
        <v>94049.586776859491</v>
      </c>
      <c r="E54" s="76">
        <f t="shared" si="46"/>
        <v>85499.62434259952</v>
      </c>
      <c r="F54" s="76">
        <f t="shared" si="46"/>
        <v>77726.931220545026</v>
      </c>
      <c r="G54" s="76">
        <f t="shared" si="46"/>
        <v>-82427.305636102814</v>
      </c>
      <c r="H54" s="76">
        <f t="shared" si="46"/>
        <v>66184.568298805374</v>
      </c>
      <c r="I54" s="76">
        <f t="shared" si="46"/>
        <v>60167.789362550327</v>
      </c>
      <c r="J54" s="76">
        <f t="shared" si="46"/>
        <v>56307.440791314795</v>
      </c>
      <c r="K54" s="76">
        <f t="shared" si="46"/>
        <v>51188.582537558897</v>
      </c>
      <c r="L54" s="76">
        <f t="shared" si="46"/>
        <v>46535.075034144451</v>
      </c>
      <c r="M54" s="76">
        <f t="shared" si="46"/>
        <v>43513.817620614842</v>
      </c>
      <c r="N54" s="76">
        <f t="shared" si="46"/>
        <v>39558.016018740767</v>
      </c>
      <c r="O54" s="76">
        <f t="shared" si="46"/>
        <v>35961.832744309788</v>
      </c>
      <c r="P54" s="76">
        <f t="shared" si="46"/>
        <v>33601.068049455782</v>
      </c>
      <c r="Q54" s="76">
        <f t="shared" si="46"/>
        <v>30546.425499505254</v>
      </c>
      <c r="R54" s="76">
        <f t="shared" si="46"/>
        <v>27769.477726822955</v>
      </c>
      <c r="S54" s="76">
        <f t="shared" si="46"/>
        <v>25927.543859362693</v>
      </c>
      <c r="T54" s="76">
        <f t="shared" si="46"/>
        <v>23570.494417602447</v>
      </c>
      <c r="U54" s="76">
        <f t="shared" si="46"/>
        <v>21427.7221978204</v>
      </c>
      <c r="V54" s="76">
        <f t="shared" si="46"/>
        <v>19992.567969247299</v>
      </c>
      <c r="W54" s="76">
        <f t="shared" si="46"/>
        <v>18175.061790224816</v>
      </c>
      <c r="X54" s="76">
        <f t="shared" si="46"/>
        <v>16522.783445658923</v>
      </c>
      <c r="Y54" s="76">
        <f t="shared" si="46"/>
        <v>15406.001867716444</v>
      </c>
      <c r="Z54" s="76">
        <f t="shared" si="46"/>
        <v>14005.456243378587</v>
      </c>
      <c r="AA54" s="76">
        <f t="shared" si="46"/>
        <v>12732.232948525987</v>
      </c>
      <c r="AB54" s="76">
        <f t="shared" si="46"/>
        <v>11864.231038397142</v>
      </c>
      <c r="AC54" s="76">
        <f t="shared" si="46"/>
        <v>10785.664580361037</v>
      </c>
      <c r="AD54" s="76">
        <f t="shared" si="46"/>
        <v>9805.1496185100332</v>
      </c>
      <c r="AE54" s="76">
        <f t="shared" si="46"/>
        <v>9131.2583402415985</v>
      </c>
      <c r="AF54" s="76">
        <f t="shared" si="46"/>
        <v>8301.1439456741791</v>
      </c>
      <c r="AG54" s="76">
        <f t="shared" si="46"/>
        <v>0</v>
      </c>
      <c r="AH54" s="76"/>
    </row>
    <row r="55" spans="1:55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55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55" s="45" customFormat="1">
      <c r="A57" s="41"/>
      <c r="B57" s="102"/>
      <c r="C57" s="102"/>
      <c r="D57" s="102"/>
      <c r="E57" s="101"/>
      <c r="F57" s="101"/>
      <c r="G57" s="101"/>
      <c r="H57" s="101"/>
      <c r="J57" s="103"/>
      <c r="K57" s="103"/>
      <c r="L57" s="103"/>
      <c r="AK57" s="103"/>
      <c r="AL57" s="103"/>
      <c r="AM57" s="103"/>
      <c r="AN57" s="78"/>
      <c r="AO57" s="103"/>
      <c r="AP57" s="103"/>
      <c r="AQ57" s="103"/>
      <c r="AR57" s="78"/>
      <c r="AS57" s="103"/>
      <c r="AT57" s="103"/>
      <c r="AU57" s="103"/>
      <c r="AV57" s="78"/>
      <c r="AW57" s="103"/>
      <c r="AX57" s="103"/>
      <c r="AY57" s="103"/>
      <c r="AZ57" s="78"/>
      <c r="BA57" s="78"/>
      <c r="BB57" s="78"/>
      <c r="BC57" s="78"/>
    </row>
    <row r="58" spans="1:55" ht="41.25" customHeight="1">
      <c r="A58" s="47" t="s">
        <v>106</v>
      </c>
      <c r="B58" s="104" t="s">
        <v>107</v>
      </c>
      <c r="C58" s="104" t="s">
        <v>108</v>
      </c>
      <c r="D58" s="105"/>
      <c r="E58" s="101"/>
      <c r="F58" s="101"/>
      <c r="G58" s="101"/>
      <c r="H58" s="101"/>
      <c r="J58" s="106"/>
      <c r="K58" s="106"/>
      <c r="L58" s="106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K58" s="106"/>
      <c r="AL58" s="106"/>
      <c r="AM58" s="106"/>
      <c r="AN58" s="78"/>
      <c r="AO58" s="106"/>
      <c r="AP58" s="106"/>
      <c r="AQ58" s="106"/>
      <c r="AR58" s="78"/>
      <c r="AS58" s="106"/>
      <c r="AT58" s="106"/>
      <c r="AU58" s="106"/>
      <c r="AV58" s="78"/>
      <c r="AW58" s="106"/>
      <c r="AX58" s="106"/>
      <c r="AY58" s="106"/>
      <c r="AZ58" s="78"/>
      <c r="BA58" s="78"/>
      <c r="BB58" s="78"/>
      <c r="BC58" s="78"/>
    </row>
    <row r="59" spans="1:55" ht="12.75" customHeight="1">
      <c r="A59" s="107" t="s">
        <v>109</v>
      </c>
      <c r="B59" s="108">
        <f>NPV($B$7,$C$75:$AF$75)+B75</f>
        <v>984921.15174135484</v>
      </c>
      <c r="C59" s="109">
        <f>NPV($B$7,$C$76:$AF$76)+$B$76</f>
        <v>984921.15174135484</v>
      </c>
      <c r="D59" s="39"/>
      <c r="E59" s="101"/>
      <c r="F59" s="101"/>
      <c r="G59" s="101"/>
      <c r="H59" s="101"/>
      <c r="J59" s="78"/>
      <c r="K59" s="110"/>
      <c r="L59" s="111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K59" s="78"/>
      <c r="AL59" s="110"/>
      <c r="AM59" s="111"/>
      <c r="AN59" s="78"/>
      <c r="AO59" s="78"/>
      <c r="AP59" s="110"/>
      <c r="AQ59" s="111"/>
      <c r="AR59" s="78"/>
      <c r="AS59" s="78"/>
      <c r="AT59" s="110"/>
      <c r="AU59" s="111"/>
      <c r="AV59" s="78"/>
      <c r="AW59" s="78"/>
      <c r="AX59" s="110"/>
      <c r="AY59" s="111"/>
      <c r="AZ59" s="78"/>
      <c r="BA59" s="78"/>
      <c r="BB59" s="78"/>
      <c r="BC59" s="78"/>
    </row>
    <row r="60" spans="1:55">
      <c r="A60" s="112" t="s">
        <v>110</v>
      </c>
      <c r="B60" s="113">
        <f>NPV($B$7,$C$52:$AF$52)+B79</f>
        <v>984921.15174135484</v>
      </c>
      <c r="C60" s="113">
        <f>NPV($B$7,$C$52:$AF$52)+$B$52</f>
        <v>984921.15174135484</v>
      </c>
      <c r="D60" s="39"/>
      <c r="E60" s="101"/>
      <c r="F60" s="101"/>
      <c r="G60" s="101"/>
      <c r="H60" s="101"/>
      <c r="J60" s="114"/>
      <c r="K60" s="115"/>
      <c r="L60" s="116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K60" s="117"/>
      <c r="AL60" s="115"/>
      <c r="AM60" s="116"/>
      <c r="AN60" s="78"/>
      <c r="AO60" s="118"/>
      <c r="AP60" s="115"/>
      <c r="AQ60" s="116"/>
      <c r="AR60" s="78"/>
      <c r="AS60" s="119"/>
      <c r="AT60" s="115"/>
      <c r="AU60" s="116"/>
      <c r="AV60" s="78"/>
      <c r="AW60" s="118"/>
      <c r="AX60" s="115"/>
      <c r="AY60" s="116"/>
      <c r="AZ60" s="78"/>
      <c r="BA60" s="78"/>
      <c r="BB60" s="78"/>
      <c r="BC60" s="78"/>
    </row>
    <row r="61" spans="1:55" ht="12.75" customHeight="1">
      <c r="A61" s="112" t="str">
        <f>"Modified IRR (MIRR) - Reinvestment Rate = "&amp;B10*100&amp;"% (with res.)"</f>
        <v>Modified IRR (MIRR) - Reinvestment Rate = 3% (with res.)</v>
      </c>
      <c r="B61" s="120">
        <f>MIRR(B75:AF75,B7,B10)</f>
        <v>0.15189728343025899</v>
      </c>
      <c r="C61" s="121">
        <f>MIRR($B$76:$AF$76,$B$7,$B$10)</f>
        <v>0.15189728343025899</v>
      </c>
      <c r="D61" s="122"/>
      <c r="E61" s="101"/>
      <c r="F61" s="101"/>
      <c r="G61" s="101"/>
      <c r="H61" s="101"/>
      <c r="J61" s="114"/>
      <c r="K61" s="115"/>
      <c r="L61" s="116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K61" s="117"/>
      <c r="AL61" s="115"/>
      <c r="AM61" s="116"/>
      <c r="AN61" s="78"/>
      <c r="AO61" s="118"/>
      <c r="AP61" s="115"/>
      <c r="AQ61" s="116"/>
      <c r="AR61" s="78"/>
      <c r="AS61" s="119"/>
      <c r="AT61" s="115"/>
      <c r="AU61" s="116"/>
      <c r="AV61" s="78"/>
      <c r="AW61" s="118"/>
      <c r="AX61" s="115"/>
      <c r="AY61" s="116"/>
      <c r="AZ61" s="78"/>
      <c r="BA61" s="78"/>
      <c r="BB61" s="78"/>
      <c r="BC61" s="78"/>
    </row>
    <row r="62" spans="1:55" ht="12.75" customHeight="1">
      <c r="A62" s="112" t="str">
        <f>"Modified IRR (MIRR) - Reinvestment Rate = "&amp;B10*100&amp;"% (w/o res.)"</f>
        <v>Modified IRR (MIRR) - Reinvestment Rate = 3% (w/o res.)</v>
      </c>
      <c r="B62" s="120">
        <f>MIRR(B79:AF79,B7,B10)</f>
        <v>0.15189728343025899</v>
      </c>
      <c r="C62" s="120">
        <f>MIRR($B$80:$AF$80,$B$7,$B$10)</f>
        <v>0.15189728343025899</v>
      </c>
      <c r="D62" s="122"/>
      <c r="E62" s="101"/>
      <c r="F62" s="101"/>
      <c r="G62" s="101"/>
      <c r="H62" s="101"/>
      <c r="J62" s="114"/>
      <c r="K62" s="115"/>
      <c r="L62" s="116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K62" s="117"/>
      <c r="AL62" s="115"/>
      <c r="AM62" s="116"/>
      <c r="AN62" s="78"/>
      <c r="AO62" s="118"/>
      <c r="AP62" s="115"/>
      <c r="AQ62" s="116"/>
      <c r="AR62" s="78"/>
      <c r="AS62" s="119"/>
      <c r="AT62" s="115"/>
      <c r="AU62" s="116"/>
      <c r="AV62" s="78"/>
      <c r="AW62" s="118"/>
      <c r="AX62" s="115"/>
      <c r="AY62" s="116"/>
      <c r="AZ62" s="78"/>
      <c r="BA62" s="78"/>
      <c r="BB62" s="78"/>
      <c r="BC62" s="78"/>
    </row>
    <row r="63" spans="1:55">
      <c r="A63" s="123" t="s">
        <v>111</v>
      </c>
      <c r="B63" s="124" t="str">
        <f>IF(B28=0,"N/A",MAX(C72:AF72))</f>
        <v>N/A</v>
      </c>
      <c r="C63" s="125">
        <f>MAX(C72:AC72)</f>
        <v>1</v>
      </c>
      <c r="D63" s="126"/>
      <c r="E63" s="101"/>
      <c r="F63" s="101"/>
      <c r="G63" s="101"/>
      <c r="H63" s="101"/>
      <c r="J63" s="114"/>
      <c r="K63" s="115"/>
      <c r="L63" s="116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K63" s="117"/>
      <c r="AL63" s="115"/>
      <c r="AM63" s="116"/>
      <c r="AN63" s="78"/>
      <c r="AO63" s="118"/>
      <c r="AP63" s="115"/>
      <c r="AQ63" s="116"/>
      <c r="AR63" s="78"/>
      <c r="AS63" s="119"/>
      <c r="AT63" s="115"/>
      <c r="AU63" s="116"/>
      <c r="AV63" s="78"/>
      <c r="AW63" s="118"/>
      <c r="AX63" s="115"/>
      <c r="AY63" s="116"/>
      <c r="AZ63" s="78"/>
      <c r="BA63" s="78"/>
      <c r="BB63" s="78"/>
      <c r="BC63" s="78"/>
    </row>
    <row r="64" spans="1:55">
      <c r="A64" s="127"/>
      <c r="B64" s="105"/>
      <c r="C64" s="105"/>
      <c r="D64" s="126"/>
      <c r="E64" s="101"/>
      <c r="F64" s="101"/>
      <c r="G64" s="101"/>
      <c r="H64" s="101"/>
      <c r="J64" s="114"/>
      <c r="K64" s="115"/>
      <c r="L64" s="116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K64" s="117"/>
      <c r="AL64" s="115"/>
      <c r="AM64" s="116"/>
      <c r="AN64" s="78"/>
      <c r="AO64" s="118"/>
      <c r="AP64" s="115"/>
      <c r="AQ64" s="116"/>
      <c r="AR64" s="78"/>
      <c r="AS64" s="119"/>
      <c r="AT64" s="115"/>
      <c r="AU64" s="116"/>
      <c r="AV64" s="78"/>
      <c r="AW64" s="118"/>
      <c r="AX64" s="115"/>
      <c r="AY64" s="116"/>
      <c r="AZ64" s="78"/>
      <c r="BA64" s="78"/>
      <c r="BB64" s="78"/>
      <c r="BC64" s="78"/>
    </row>
    <row r="65" spans="1:55">
      <c r="A65" s="127"/>
      <c r="B65" s="105"/>
      <c r="C65" s="105"/>
      <c r="D65" s="126"/>
      <c r="E65" s="101"/>
      <c r="F65" s="101"/>
      <c r="G65" s="101"/>
      <c r="H65" s="101"/>
      <c r="J65" s="114"/>
      <c r="K65" s="115"/>
      <c r="L65" s="116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K65" s="117"/>
      <c r="AL65" s="115"/>
      <c r="AM65" s="116"/>
      <c r="AN65" s="78"/>
      <c r="AO65" s="118"/>
      <c r="AP65" s="115"/>
      <c r="AQ65" s="116"/>
      <c r="AR65" s="78"/>
      <c r="AS65" s="119"/>
      <c r="AT65" s="115"/>
      <c r="AU65" s="116"/>
      <c r="AV65" s="78"/>
      <c r="AW65" s="118"/>
      <c r="AX65" s="115"/>
      <c r="AY65" s="116"/>
      <c r="AZ65" s="78"/>
      <c r="BA65" s="78"/>
      <c r="BB65" s="78"/>
      <c r="BC65" s="78"/>
    </row>
    <row r="66" spans="1:55">
      <c r="A66" s="127"/>
      <c r="B66" s="105"/>
      <c r="C66" s="105"/>
      <c r="D66" s="126"/>
      <c r="E66" s="101"/>
      <c r="F66" s="101"/>
      <c r="G66" s="101"/>
      <c r="H66" s="101"/>
      <c r="J66" s="114"/>
      <c r="K66" s="115"/>
      <c r="L66" s="116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K66" s="117"/>
      <c r="AL66" s="115"/>
      <c r="AM66" s="116"/>
      <c r="AN66" s="78"/>
      <c r="AO66" s="118"/>
      <c r="AP66" s="115"/>
      <c r="AQ66" s="116"/>
      <c r="AR66" s="78"/>
      <c r="AS66" s="119"/>
      <c r="AT66" s="115"/>
      <c r="AU66" s="116"/>
      <c r="AV66" s="78"/>
      <c r="AW66" s="118"/>
      <c r="AX66" s="115"/>
      <c r="AY66" s="116"/>
      <c r="AZ66" s="78"/>
      <c r="BA66" s="78"/>
      <c r="BB66" s="78"/>
      <c r="BC66" s="78"/>
    </row>
    <row r="67" spans="1:55">
      <c r="E67" s="101"/>
      <c r="F67" s="101"/>
      <c r="G67" s="101"/>
      <c r="H67" s="101"/>
      <c r="J67" s="114"/>
      <c r="K67" s="115"/>
      <c r="L67" s="116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K67" s="117"/>
      <c r="AL67" s="115"/>
      <c r="AM67" s="116"/>
      <c r="AN67" s="78"/>
      <c r="AO67" s="118"/>
      <c r="AP67" s="115"/>
      <c r="AQ67" s="116"/>
      <c r="AR67" s="78"/>
      <c r="AS67" s="119"/>
      <c r="AT67" s="115"/>
      <c r="AU67" s="116"/>
      <c r="AV67" s="78"/>
      <c r="AW67" s="118"/>
      <c r="AX67" s="115"/>
      <c r="AY67" s="116"/>
      <c r="AZ67" s="78"/>
      <c r="BA67" s="78"/>
      <c r="BB67" s="78"/>
      <c r="BC67" s="78"/>
    </row>
    <row r="68" spans="1:55">
      <c r="A68" s="47" t="s">
        <v>112</v>
      </c>
      <c r="E68" s="101"/>
      <c r="F68" s="101"/>
      <c r="G68" s="101"/>
      <c r="H68" s="101"/>
      <c r="J68" s="128"/>
      <c r="K68" s="115"/>
      <c r="L68" s="129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1"/>
      <c r="AE68" s="132"/>
      <c r="AF68" s="133"/>
      <c r="AG68" s="134"/>
      <c r="AH68" s="135"/>
      <c r="AI68" s="134"/>
    </row>
    <row r="69" spans="1:55">
      <c r="A69" s="136" t="s">
        <v>113</v>
      </c>
      <c r="B69" s="63"/>
      <c r="C69" s="63"/>
      <c r="D69" s="63"/>
      <c r="E69" s="122"/>
      <c r="F69" s="63"/>
      <c r="G69" s="63"/>
      <c r="H69" s="63"/>
      <c r="I69" s="40"/>
      <c r="J69" s="102"/>
      <c r="K69" s="102"/>
      <c r="L69" s="10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</row>
    <row r="70" spans="1:55">
      <c r="A70" s="137" t="s">
        <v>114</v>
      </c>
      <c r="B70" s="138">
        <f>-B28-B29</f>
        <v>0</v>
      </c>
      <c r="C70" s="138">
        <f t="shared" ref="C70:AF70" si="47">C54</f>
        <v>101090.90909090909</v>
      </c>
      <c r="D70" s="138">
        <f t="shared" si="47"/>
        <v>94049.586776859491</v>
      </c>
      <c r="E70" s="138">
        <f t="shared" si="47"/>
        <v>85499.62434259952</v>
      </c>
      <c r="F70" s="138">
        <f t="shared" si="47"/>
        <v>77726.931220545026</v>
      </c>
      <c r="G70" s="138">
        <f t="shared" si="47"/>
        <v>-82427.305636102814</v>
      </c>
      <c r="H70" s="138">
        <f t="shared" si="47"/>
        <v>66184.568298805374</v>
      </c>
      <c r="I70" s="138">
        <f t="shared" si="47"/>
        <v>60167.789362550327</v>
      </c>
      <c r="J70" s="138">
        <f t="shared" si="47"/>
        <v>56307.440791314795</v>
      </c>
      <c r="K70" s="138">
        <f t="shared" si="47"/>
        <v>51188.582537558897</v>
      </c>
      <c r="L70" s="138">
        <f t="shared" si="47"/>
        <v>46535.075034144451</v>
      </c>
      <c r="M70" s="138">
        <f t="shared" si="47"/>
        <v>43513.817620614842</v>
      </c>
      <c r="N70" s="138">
        <f t="shared" si="47"/>
        <v>39558.016018740767</v>
      </c>
      <c r="O70" s="138">
        <f t="shared" si="47"/>
        <v>35961.832744309788</v>
      </c>
      <c r="P70" s="138">
        <f t="shared" si="47"/>
        <v>33601.068049455782</v>
      </c>
      <c r="Q70" s="138">
        <f t="shared" si="47"/>
        <v>30546.425499505254</v>
      </c>
      <c r="R70" s="138">
        <f t="shared" si="47"/>
        <v>27769.477726822955</v>
      </c>
      <c r="S70" s="138">
        <f t="shared" si="47"/>
        <v>25927.543859362693</v>
      </c>
      <c r="T70" s="138">
        <f t="shared" si="47"/>
        <v>23570.494417602447</v>
      </c>
      <c r="U70" s="138">
        <f t="shared" si="47"/>
        <v>21427.7221978204</v>
      </c>
      <c r="V70" s="138">
        <f t="shared" si="47"/>
        <v>19992.567969247299</v>
      </c>
      <c r="W70" s="138">
        <f t="shared" si="47"/>
        <v>18175.061790224816</v>
      </c>
      <c r="X70" s="138">
        <f t="shared" si="47"/>
        <v>16522.783445658923</v>
      </c>
      <c r="Y70" s="138">
        <f t="shared" si="47"/>
        <v>15406.001867716444</v>
      </c>
      <c r="Z70" s="138">
        <f t="shared" si="47"/>
        <v>14005.456243378587</v>
      </c>
      <c r="AA70" s="138">
        <f t="shared" si="47"/>
        <v>12732.232948525987</v>
      </c>
      <c r="AB70" s="138">
        <f t="shared" si="47"/>
        <v>11864.231038397142</v>
      </c>
      <c r="AC70" s="138">
        <f t="shared" si="47"/>
        <v>10785.664580361037</v>
      </c>
      <c r="AD70" s="138">
        <f t="shared" si="47"/>
        <v>9805.1496185100332</v>
      </c>
      <c r="AE70" s="138">
        <f t="shared" si="47"/>
        <v>9131.2583402415985</v>
      </c>
      <c r="AF70" s="138">
        <f t="shared" si="47"/>
        <v>8301.1439456741791</v>
      </c>
    </row>
    <row r="71" spans="1:55" s="40" customFormat="1">
      <c r="A71" s="139" t="s">
        <v>115</v>
      </c>
      <c r="B71" s="140"/>
      <c r="C71" s="86">
        <f>C70+B70</f>
        <v>101090.90909090909</v>
      </c>
      <c r="D71" s="86">
        <f t="shared" ref="D71:AF71" si="48">D70+C71</f>
        <v>195140.49586776859</v>
      </c>
      <c r="E71" s="86">
        <f t="shared" si="48"/>
        <v>280640.12021036813</v>
      </c>
      <c r="F71" s="86">
        <f t="shared" si="48"/>
        <v>358367.05143091315</v>
      </c>
      <c r="G71" s="86">
        <f t="shared" si="48"/>
        <v>275939.74579481035</v>
      </c>
      <c r="H71" s="86">
        <f t="shared" si="48"/>
        <v>342124.31409361574</v>
      </c>
      <c r="I71" s="86">
        <f t="shared" si="48"/>
        <v>402292.10345616605</v>
      </c>
      <c r="J71" s="86">
        <f t="shared" si="48"/>
        <v>458599.54424748087</v>
      </c>
      <c r="K71" s="86">
        <f t="shared" si="48"/>
        <v>509788.12678503979</v>
      </c>
      <c r="L71" s="86">
        <f t="shared" si="48"/>
        <v>556323.20181918424</v>
      </c>
      <c r="M71" s="86">
        <f>M70+L71</f>
        <v>599837.01943979913</v>
      </c>
      <c r="N71" s="86">
        <f t="shared" ref="N71:AC71" si="49">N70+M71</f>
        <v>639395.03545853985</v>
      </c>
      <c r="O71" s="86">
        <f t="shared" si="49"/>
        <v>675356.86820284964</v>
      </c>
      <c r="P71" s="86">
        <f t="shared" si="49"/>
        <v>708957.9362523054</v>
      </c>
      <c r="Q71" s="86">
        <f t="shared" si="49"/>
        <v>739504.36175181065</v>
      </c>
      <c r="R71" s="86">
        <f t="shared" si="49"/>
        <v>767273.8394786336</v>
      </c>
      <c r="S71" s="86">
        <f t="shared" si="49"/>
        <v>793201.38333799632</v>
      </c>
      <c r="T71" s="86">
        <f t="shared" si="49"/>
        <v>816771.87775559875</v>
      </c>
      <c r="U71" s="86">
        <f t="shared" si="49"/>
        <v>838199.59995341918</v>
      </c>
      <c r="V71" s="86">
        <f t="shared" si="49"/>
        <v>858192.16792266653</v>
      </c>
      <c r="W71" s="86">
        <f t="shared" si="49"/>
        <v>876367.22971289139</v>
      </c>
      <c r="X71" s="86">
        <f t="shared" si="49"/>
        <v>892890.01315855037</v>
      </c>
      <c r="Y71" s="86">
        <f t="shared" si="49"/>
        <v>908296.0150262668</v>
      </c>
      <c r="Z71" s="86">
        <f t="shared" si="49"/>
        <v>922301.47126964538</v>
      </c>
      <c r="AA71" s="86">
        <f t="shared" si="49"/>
        <v>935033.70421817142</v>
      </c>
      <c r="AB71" s="86">
        <f t="shared" si="49"/>
        <v>946897.9352565686</v>
      </c>
      <c r="AC71" s="86">
        <f t="shared" si="49"/>
        <v>957683.59983692958</v>
      </c>
      <c r="AD71" s="86">
        <f t="shared" si="48"/>
        <v>967488.74945543963</v>
      </c>
      <c r="AE71" s="86">
        <f t="shared" si="48"/>
        <v>976620.00779568125</v>
      </c>
      <c r="AF71" s="86">
        <f t="shared" si="48"/>
        <v>984921.15174135542</v>
      </c>
    </row>
    <row r="72" spans="1:55" s="40" customFormat="1">
      <c r="A72" s="141" t="s">
        <v>111</v>
      </c>
      <c r="B72" s="142"/>
      <c r="C72" s="143">
        <f>IF(AND(C71&gt;1,SUM(B72:$B72)=0),C27,0)</f>
        <v>1</v>
      </c>
      <c r="D72" s="143">
        <f>IF(AND(D71&gt;1,SUM($B72:C72)=0),D27,0)</f>
        <v>0</v>
      </c>
      <c r="E72" s="143">
        <f>IF(AND(E71&gt;1,SUM($B72:D72)=0),E27,0)</f>
        <v>0</v>
      </c>
      <c r="F72" s="143">
        <f>IF(AND(F71&gt;1,SUM($B72:E72)=0),F27,0)</f>
        <v>0</v>
      </c>
      <c r="G72" s="143">
        <f>IF(AND(G71&gt;1,SUM($B72:F72)=0),G27,0)</f>
        <v>0</v>
      </c>
      <c r="H72" s="143">
        <f>IF(AND(H71&gt;1,SUM($B72:G72)=0),H27,0)</f>
        <v>0</v>
      </c>
      <c r="I72" s="143">
        <f>IF(AND(I71&gt;1,SUM($B72:H72)=0),I27,0)</f>
        <v>0</v>
      </c>
      <c r="J72" s="143">
        <f>IF(AND(J71&gt;1,SUM($B72:I72)=0),J27,0)</f>
        <v>0</v>
      </c>
      <c r="K72" s="143">
        <f>IF(AND(K71&gt;1,SUM($B72:J72)=0),K27,0)</f>
        <v>0</v>
      </c>
      <c r="L72" s="143">
        <f>IF(AND(L71&gt;1,SUM($B72:K72)=0),L27,0)</f>
        <v>0</v>
      </c>
      <c r="M72" s="143">
        <f>IF(AND(M71&gt;1,SUM($B72:L72)=0),M27,0)</f>
        <v>0</v>
      </c>
      <c r="N72" s="143">
        <f>IF(AND(N71&gt;1,SUM($B72:M72)=0),N27,0)</f>
        <v>0</v>
      </c>
      <c r="O72" s="143">
        <f>IF(AND(O71&gt;1,SUM($B72:N72)=0),O27,0)</f>
        <v>0</v>
      </c>
      <c r="P72" s="143">
        <f>IF(AND(P71&gt;1,SUM($B72:O72)=0),P27,0)</f>
        <v>0</v>
      </c>
      <c r="Q72" s="143">
        <f>IF(AND(Q71&gt;1,SUM($B72:P72)=0),Q27,0)</f>
        <v>0</v>
      </c>
      <c r="R72" s="143">
        <f>IF(AND(R71&gt;1,SUM($B72:Q72)=0),R27,0)</f>
        <v>0</v>
      </c>
      <c r="S72" s="143">
        <f>IF(AND(S71&gt;1,SUM($B72:R72)=0),S27,0)</f>
        <v>0</v>
      </c>
      <c r="T72" s="143">
        <f>IF(AND(T71&gt;1,SUM($B72:S72)=0),T27,0)</f>
        <v>0</v>
      </c>
      <c r="U72" s="143">
        <f>IF(AND(U71&gt;1,SUM($B72:T72)=0),U27,0)</f>
        <v>0</v>
      </c>
      <c r="V72" s="143">
        <f>IF(AND(V71&gt;1,SUM($B72:U72)=0),V27,0)</f>
        <v>0</v>
      </c>
      <c r="W72" s="143">
        <f>IF(AND(W71&gt;1,SUM($B72:V72)=0),W27,0)</f>
        <v>0</v>
      </c>
      <c r="X72" s="143">
        <f>IF(AND(X71&gt;1,SUM($B72:W72)=0),X27,0)</f>
        <v>0</v>
      </c>
      <c r="Y72" s="143">
        <f>IF(AND(Y71&gt;1,SUM($B72:X72)=0),Y27,0)</f>
        <v>0</v>
      </c>
      <c r="Z72" s="143">
        <f>IF(AND(Z71&gt;1,SUM($B72:Y72)=0),Z27,0)</f>
        <v>0</v>
      </c>
      <c r="AA72" s="143">
        <f>IF(AND(AA71&gt;1,SUM($B72:Z72)=0),AA27,0)</f>
        <v>0</v>
      </c>
      <c r="AB72" s="143">
        <f>IF(AND(AB71&gt;1,SUM($B72:AA72)=0),AB27,0)</f>
        <v>0</v>
      </c>
      <c r="AC72" s="143">
        <f>IF(AND(AC71&gt;1,SUM($B72:AB72)=0),AC27,0)</f>
        <v>0</v>
      </c>
      <c r="AD72" s="143">
        <f>IF(AND(AD71&gt;1,SUM($B72:AC72)=0),AD27,0)</f>
        <v>0</v>
      </c>
      <c r="AE72" s="143">
        <f>IF(AND(AE71&gt;1,SUM($B72:AD72)=0),AE27,0)</f>
        <v>0</v>
      </c>
      <c r="AF72" s="143">
        <f>IF(AND(AF71&gt;1,SUM($B72:AE72)=0),AF27,0)</f>
        <v>0</v>
      </c>
    </row>
    <row r="73" spans="1:55">
      <c r="AC73" s="41"/>
    </row>
    <row r="74" spans="1:55" s="40" customFormat="1">
      <c r="A74" s="136" t="s">
        <v>116</v>
      </c>
      <c r="B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</row>
    <row r="75" spans="1:55" s="40" customFormat="1">
      <c r="A75" s="41" t="s">
        <v>117</v>
      </c>
      <c r="B75" s="76">
        <f>-B28-B29</f>
        <v>0</v>
      </c>
      <c r="C75" s="77">
        <f t="shared" ref="C75:AE75" si="50">C52</f>
        <v>111200</v>
      </c>
      <c r="D75" s="77">
        <f t="shared" si="50"/>
        <v>113800</v>
      </c>
      <c r="E75" s="77">
        <f t="shared" si="50"/>
        <v>113800</v>
      </c>
      <c r="F75" s="77">
        <f t="shared" si="50"/>
        <v>113800</v>
      </c>
      <c r="G75" s="77">
        <f t="shared" si="50"/>
        <v>-132750</v>
      </c>
      <c r="H75" s="77">
        <f t="shared" si="50"/>
        <v>117250</v>
      </c>
      <c r="I75" s="77">
        <f t="shared" si="50"/>
        <v>117250</v>
      </c>
      <c r="J75" s="77">
        <f t="shared" si="50"/>
        <v>120700</v>
      </c>
      <c r="K75" s="77">
        <f t="shared" si="50"/>
        <v>120700</v>
      </c>
      <c r="L75" s="77">
        <f t="shared" si="50"/>
        <v>120700</v>
      </c>
      <c r="M75" s="77">
        <f t="shared" si="50"/>
        <v>124150</v>
      </c>
      <c r="N75" s="77">
        <f t="shared" si="50"/>
        <v>124150</v>
      </c>
      <c r="O75" s="77">
        <f t="shared" si="50"/>
        <v>124150</v>
      </c>
      <c r="P75" s="77">
        <f t="shared" si="50"/>
        <v>127600.00000000001</v>
      </c>
      <c r="Q75" s="77">
        <f t="shared" si="50"/>
        <v>127600.00000000001</v>
      </c>
      <c r="R75" s="77">
        <f t="shared" si="50"/>
        <v>127600.00000000001</v>
      </c>
      <c r="S75" s="77">
        <f t="shared" si="50"/>
        <v>131049.99999999999</v>
      </c>
      <c r="T75" s="77">
        <f t="shared" si="50"/>
        <v>131049.99999999999</v>
      </c>
      <c r="U75" s="77">
        <f t="shared" si="50"/>
        <v>131049.99999999999</v>
      </c>
      <c r="V75" s="77">
        <f t="shared" si="50"/>
        <v>134500</v>
      </c>
      <c r="W75" s="77">
        <f t="shared" si="50"/>
        <v>134500</v>
      </c>
      <c r="X75" s="77">
        <f t="shared" si="50"/>
        <v>134500</v>
      </c>
      <c r="Y75" s="77">
        <f t="shared" si="50"/>
        <v>137950</v>
      </c>
      <c r="Z75" s="77">
        <f t="shared" si="50"/>
        <v>137950</v>
      </c>
      <c r="AA75" s="77">
        <f t="shared" si="50"/>
        <v>137950</v>
      </c>
      <c r="AB75" s="77">
        <f t="shared" si="50"/>
        <v>141400</v>
      </c>
      <c r="AC75" s="77">
        <f t="shared" si="50"/>
        <v>141400</v>
      </c>
      <c r="AD75" s="77">
        <f t="shared" si="50"/>
        <v>141400</v>
      </c>
      <c r="AE75" s="77">
        <f t="shared" si="50"/>
        <v>144850</v>
      </c>
      <c r="AF75" s="77">
        <f>AF52+AG52</f>
        <v>144850</v>
      </c>
      <c r="AG75" s="77"/>
    </row>
    <row r="76" spans="1:55" s="40" customFormat="1">
      <c r="A76" s="41" t="s">
        <v>118</v>
      </c>
      <c r="B76" s="76">
        <f t="shared" ref="B76:AE76" si="51">B52</f>
        <v>0</v>
      </c>
      <c r="C76" s="76">
        <f t="shared" si="51"/>
        <v>111200</v>
      </c>
      <c r="D76" s="76">
        <f t="shared" si="51"/>
        <v>113800</v>
      </c>
      <c r="E76" s="76">
        <f t="shared" si="51"/>
        <v>113800</v>
      </c>
      <c r="F76" s="76">
        <f t="shared" si="51"/>
        <v>113800</v>
      </c>
      <c r="G76" s="76">
        <f t="shared" si="51"/>
        <v>-132750</v>
      </c>
      <c r="H76" s="76">
        <f t="shared" si="51"/>
        <v>117250</v>
      </c>
      <c r="I76" s="76">
        <f t="shared" si="51"/>
        <v>117250</v>
      </c>
      <c r="J76" s="76">
        <f t="shared" si="51"/>
        <v>120700</v>
      </c>
      <c r="K76" s="76">
        <f t="shared" si="51"/>
        <v>120700</v>
      </c>
      <c r="L76" s="76">
        <f t="shared" si="51"/>
        <v>120700</v>
      </c>
      <c r="M76" s="76">
        <f t="shared" si="51"/>
        <v>124150</v>
      </c>
      <c r="N76" s="76">
        <f t="shared" si="51"/>
        <v>124150</v>
      </c>
      <c r="O76" s="76">
        <f t="shared" si="51"/>
        <v>124150</v>
      </c>
      <c r="P76" s="76">
        <f t="shared" si="51"/>
        <v>127600.00000000001</v>
      </c>
      <c r="Q76" s="76">
        <f t="shared" si="51"/>
        <v>127600.00000000001</v>
      </c>
      <c r="R76" s="76">
        <f t="shared" si="51"/>
        <v>127600.00000000001</v>
      </c>
      <c r="S76" s="76">
        <f t="shared" si="51"/>
        <v>131049.99999999999</v>
      </c>
      <c r="T76" s="76">
        <f t="shared" si="51"/>
        <v>131049.99999999999</v>
      </c>
      <c r="U76" s="76">
        <f t="shared" si="51"/>
        <v>131049.99999999999</v>
      </c>
      <c r="V76" s="76">
        <f t="shared" si="51"/>
        <v>134500</v>
      </c>
      <c r="W76" s="76">
        <f t="shared" si="51"/>
        <v>134500</v>
      </c>
      <c r="X76" s="76">
        <f t="shared" si="51"/>
        <v>134500</v>
      </c>
      <c r="Y76" s="76">
        <f t="shared" si="51"/>
        <v>137950</v>
      </c>
      <c r="Z76" s="76">
        <f t="shared" si="51"/>
        <v>137950</v>
      </c>
      <c r="AA76" s="76">
        <f t="shared" si="51"/>
        <v>137950</v>
      </c>
      <c r="AB76" s="76">
        <f t="shared" si="51"/>
        <v>141400</v>
      </c>
      <c r="AC76" s="76">
        <f t="shared" si="51"/>
        <v>141400</v>
      </c>
      <c r="AD76" s="76">
        <f t="shared" si="51"/>
        <v>141400</v>
      </c>
      <c r="AE76" s="76">
        <f t="shared" si="51"/>
        <v>144850</v>
      </c>
      <c r="AF76" s="77">
        <f>AF52+AG52</f>
        <v>144850</v>
      </c>
      <c r="AG76" s="77"/>
    </row>
    <row r="77" spans="1:55" s="40" customFormat="1">
      <c r="A77" s="41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7"/>
      <c r="AG77" s="77"/>
    </row>
    <row r="78" spans="1:55" s="40" customFormat="1">
      <c r="A78" s="136" t="s">
        <v>119</v>
      </c>
      <c r="B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</row>
    <row r="79" spans="1:55" s="40" customFormat="1">
      <c r="A79" s="41" t="s">
        <v>117</v>
      </c>
      <c r="B79" s="76">
        <f>-B28-B29</f>
        <v>0</v>
      </c>
      <c r="C79" s="77">
        <f t="shared" ref="C79:AF79" si="52">C52</f>
        <v>111200</v>
      </c>
      <c r="D79" s="77">
        <f t="shared" si="52"/>
        <v>113800</v>
      </c>
      <c r="E79" s="77">
        <f t="shared" si="52"/>
        <v>113800</v>
      </c>
      <c r="F79" s="77">
        <f t="shared" si="52"/>
        <v>113800</v>
      </c>
      <c r="G79" s="77">
        <f t="shared" si="52"/>
        <v>-132750</v>
      </c>
      <c r="H79" s="77">
        <f t="shared" si="52"/>
        <v>117250</v>
      </c>
      <c r="I79" s="77">
        <f t="shared" si="52"/>
        <v>117250</v>
      </c>
      <c r="J79" s="77">
        <f t="shared" si="52"/>
        <v>120700</v>
      </c>
      <c r="K79" s="77">
        <f t="shared" si="52"/>
        <v>120700</v>
      </c>
      <c r="L79" s="77">
        <f t="shared" si="52"/>
        <v>120700</v>
      </c>
      <c r="M79" s="77">
        <f t="shared" si="52"/>
        <v>124150</v>
      </c>
      <c r="N79" s="77">
        <f t="shared" si="52"/>
        <v>124150</v>
      </c>
      <c r="O79" s="77">
        <f t="shared" si="52"/>
        <v>124150</v>
      </c>
      <c r="P79" s="77">
        <f t="shared" si="52"/>
        <v>127600.00000000001</v>
      </c>
      <c r="Q79" s="77">
        <f t="shared" si="52"/>
        <v>127600.00000000001</v>
      </c>
      <c r="R79" s="77">
        <f t="shared" si="52"/>
        <v>127600.00000000001</v>
      </c>
      <c r="S79" s="77">
        <f t="shared" si="52"/>
        <v>131049.99999999999</v>
      </c>
      <c r="T79" s="77">
        <f t="shared" si="52"/>
        <v>131049.99999999999</v>
      </c>
      <c r="U79" s="77">
        <f t="shared" si="52"/>
        <v>131049.99999999999</v>
      </c>
      <c r="V79" s="77">
        <f t="shared" si="52"/>
        <v>134500</v>
      </c>
      <c r="W79" s="77">
        <f t="shared" si="52"/>
        <v>134500</v>
      </c>
      <c r="X79" s="77">
        <f t="shared" si="52"/>
        <v>134500</v>
      </c>
      <c r="Y79" s="77">
        <f t="shared" si="52"/>
        <v>137950</v>
      </c>
      <c r="Z79" s="77">
        <f t="shared" si="52"/>
        <v>137950</v>
      </c>
      <c r="AA79" s="77">
        <f t="shared" si="52"/>
        <v>137950</v>
      </c>
      <c r="AB79" s="77">
        <f t="shared" si="52"/>
        <v>141400</v>
      </c>
      <c r="AC79" s="77">
        <f t="shared" si="52"/>
        <v>141400</v>
      </c>
      <c r="AD79" s="77">
        <f t="shared" si="52"/>
        <v>141400</v>
      </c>
      <c r="AE79" s="77">
        <f t="shared" si="52"/>
        <v>144850</v>
      </c>
      <c r="AF79" s="77">
        <f t="shared" si="52"/>
        <v>144850</v>
      </c>
    </row>
    <row r="80" spans="1:55" s="40" customFormat="1">
      <c r="A80" s="41" t="s">
        <v>118</v>
      </c>
      <c r="B80" s="76">
        <f t="shared" ref="B80:AF80" si="53">B52</f>
        <v>0</v>
      </c>
      <c r="C80" s="77">
        <f t="shared" si="53"/>
        <v>111200</v>
      </c>
      <c r="D80" s="77">
        <f t="shared" si="53"/>
        <v>113800</v>
      </c>
      <c r="E80" s="77">
        <f t="shared" si="53"/>
        <v>113800</v>
      </c>
      <c r="F80" s="77">
        <f t="shared" si="53"/>
        <v>113800</v>
      </c>
      <c r="G80" s="77">
        <f t="shared" si="53"/>
        <v>-132750</v>
      </c>
      <c r="H80" s="77">
        <f t="shared" si="53"/>
        <v>117250</v>
      </c>
      <c r="I80" s="77">
        <f t="shared" si="53"/>
        <v>117250</v>
      </c>
      <c r="J80" s="77">
        <f t="shared" si="53"/>
        <v>120700</v>
      </c>
      <c r="K80" s="77">
        <f t="shared" si="53"/>
        <v>120700</v>
      </c>
      <c r="L80" s="77">
        <f t="shared" si="53"/>
        <v>120700</v>
      </c>
      <c r="M80" s="77">
        <f t="shared" si="53"/>
        <v>124150</v>
      </c>
      <c r="N80" s="77">
        <f t="shared" si="53"/>
        <v>124150</v>
      </c>
      <c r="O80" s="77">
        <f t="shared" si="53"/>
        <v>124150</v>
      </c>
      <c r="P80" s="77">
        <f t="shared" si="53"/>
        <v>127600.00000000001</v>
      </c>
      <c r="Q80" s="77">
        <f t="shared" si="53"/>
        <v>127600.00000000001</v>
      </c>
      <c r="R80" s="77">
        <f t="shared" si="53"/>
        <v>127600.00000000001</v>
      </c>
      <c r="S80" s="77">
        <f t="shared" si="53"/>
        <v>131049.99999999999</v>
      </c>
      <c r="T80" s="77">
        <f t="shared" si="53"/>
        <v>131049.99999999999</v>
      </c>
      <c r="U80" s="77">
        <f t="shared" si="53"/>
        <v>131049.99999999999</v>
      </c>
      <c r="V80" s="77">
        <f t="shared" si="53"/>
        <v>134500</v>
      </c>
      <c r="W80" s="77">
        <f t="shared" si="53"/>
        <v>134500</v>
      </c>
      <c r="X80" s="77">
        <f t="shared" si="53"/>
        <v>134500</v>
      </c>
      <c r="Y80" s="77">
        <f t="shared" si="53"/>
        <v>137950</v>
      </c>
      <c r="Z80" s="77">
        <f t="shared" si="53"/>
        <v>137950</v>
      </c>
      <c r="AA80" s="77">
        <f t="shared" si="53"/>
        <v>137950</v>
      </c>
      <c r="AB80" s="77">
        <f t="shared" si="53"/>
        <v>141400</v>
      </c>
      <c r="AC80" s="77">
        <f t="shared" si="53"/>
        <v>141400</v>
      </c>
      <c r="AD80" s="77">
        <f t="shared" si="53"/>
        <v>141400</v>
      </c>
      <c r="AE80" s="77">
        <f t="shared" si="53"/>
        <v>144850</v>
      </c>
      <c r="AF80" s="77">
        <f t="shared" si="53"/>
        <v>144850</v>
      </c>
      <c r="AG80" s="77"/>
    </row>
    <row r="81" spans="1:55" s="40" customFormat="1">
      <c r="A81" s="41"/>
      <c r="B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</row>
    <row r="82" spans="1:55" s="40" customFormat="1">
      <c r="A82" s="41"/>
      <c r="B82" s="41"/>
    </row>
    <row r="83" spans="1:55" s="40" customFormat="1">
      <c r="A83" s="41"/>
      <c r="B83" s="76"/>
    </row>
    <row r="84" spans="1:55" s="40" customFormat="1">
      <c r="A84" s="41"/>
      <c r="B84" s="41"/>
    </row>
  </sheetData>
  <protectedRanges>
    <protectedRange sqref="C13" name="Range2"/>
  </protectedRanges>
  <mergeCells count="2">
    <mergeCell ref="A6:B6"/>
    <mergeCell ref="E6:M6"/>
  </mergeCells>
  <conditionalFormatting sqref="AM60 AS60:AS67 AP61:AQ67 AT61:AU67 AX61:AY67 AL61:AM67 L60:L67 AG68:AI68 AY60 L68:AE68 AQ60 AU60">
    <cfRule type="cellIs" dxfId="8" priority="8" stopIfTrue="1" operator="equal">
      <formula>$C$59</formula>
    </cfRule>
  </conditionalFormatting>
  <conditionalFormatting sqref="AL60:AM67 AK61:AK67 AF68 AH68 K60:L68 AX60:AY67 AP60:AQ67 AS60:AU67">
    <cfRule type="cellIs" dxfId="7" priority="7" stopIfTrue="1" operator="equal">
      <formula>$B$59</formula>
    </cfRule>
  </conditionalFormatting>
  <conditionalFormatting sqref="AM60 AL61:AM65 AS60:AS67 AP61:AQ65 AT61:AU65 AX61:AY65 L60:L65 AU60 AY60 AQ60">
    <cfRule type="cellIs" dxfId="6" priority="5" stopIfTrue="1" operator="equal">
      <formula>$C$62</formula>
    </cfRule>
    <cfRule type="cellIs" dxfId="5" priority="6" stopIfTrue="1" operator="equal">
      <formula>$C$59</formula>
    </cfRule>
  </conditionalFormatting>
  <conditionalFormatting sqref="AL60:AL66 AK61:AK67 AS60:AS67 K60:K66 AT60:AT66 AX60:AX66 AP60:AP66">
    <cfRule type="cellIs" dxfId="4" priority="3" stopIfTrue="1" operator="equal">
      <formula>$C$61</formula>
    </cfRule>
    <cfRule type="cellIs" dxfId="3" priority="4" stopIfTrue="1" operator="equal">
      <formula>$B$59</formula>
    </cfRule>
  </conditionalFormatting>
  <conditionalFormatting sqref="AL61:AL67 AG68 AP61:AP67 AT61:AT67 AX61:AX67">
    <cfRule type="cellIs" dxfId="2" priority="1" operator="equal">
      <formula>$C$59</formula>
    </cfRule>
    <cfRule type="cellIs" dxfId="1" priority="2" stopIfTrue="1" operator="equal">
      <formula>$B$59</formula>
    </cfRule>
  </conditionalFormatting>
  <pageMargins left="0.5" right="0.5" top="0.5" bottom="0.5" header="0.3" footer="0.3"/>
  <pageSetup paperSize="17" scale="82" fitToWidth="0" orientation="landscape" r:id="rId1"/>
  <headerFooter alignWithMargins="0">
    <oddHeader>&amp;L&amp;D  &amp;T&amp;RPage &amp;P of &amp;N</oddHeader>
    <oddFooter>&amp;L&amp;9&amp;Z&amp;F&amp;A&amp;RConfidential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W64"/>
  <sheetViews>
    <sheetView zoomScale="90" zoomScaleNormal="90" workbookViewId="0">
      <selection activeCell="B1" sqref="B1:C1"/>
    </sheetView>
  </sheetViews>
  <sheetFormatPr defaultRowHeight="12.75"/>
  <cols>
    <col min="1" max="1" width="1.5703125" style="2" customWidth="1"/>
    <col min="2" max="2" width="52.42578125" style="2" customWidth="1"/>
    <col min="3" max="3" width="17.85546875" style="2" customWidth="1"/>
    <col min="4" max="17" width="14.85546875" style="2" customWidth="1"/>
    <col min="18" max="18" width="2.42578125" style="2" customWidth="1"/>
    <col min="19" max="24" width="14.85546875" style="2" customWidth="1"/>
    <col min="25" max="32" width="11.5703125" style="2" customWidth="1"/>
    <col min="33" max="33" width="9.140625" style="2" customWidth="1"/>
    <col min="34" max="16384" width="9.140625" style="2"/>
  </cols>
  <sheetData>
    <row r="1" spans="1:19" ht="15.75">
      <c r="B1" s="467" t="s">
        <v>396</v>
      </c>
      <c r="C1" s="467"/>
    </row>
    <row r="3" spans="1:19">
      <c r="A3" s="12" t="s">
        <v>54</v>
      </c>
    </row>
    <row r="4" spans="1:19">
      <c r="B4" s="19" t="s">
        <v>46</v>
      </c>
    </row>
    <row r="5" spans="1:19">
      <c r="A5" s="12"/>
    </row>
    <row r="8" spans="1:19">
      <c r="B8" s="20" t="s">
        <v>51</v>
      </c>
      <c r="C8" s="21">
        <v>0</v>
      </c>
    </row>
    <row r="9" spans="1:19">
      <c r="B9" s="22" t="s">
        <v>50</v>
      </c>
      <c r="C9" s="23">
        <v>0</v>
      </c>
    </row>
    <row r="10" spans="1:19">
      <c r="B10" s="24" t="s">
        <v>55</v>
      </c>
      <c r="C10" s="10">
        <v>0.16875085181179006</v>
      </c>
    </row>
    <row r="12" spans="1:19">
      <c r="C12" s="2" t="s">
        <v>48</v>
      </c>
    </row>
    <row r="13" spans="1:19" s="1" customFormat="1">
      <c r="C13" s="15">
        <v>2013</v>
      </c>
      <c r="D13" s="1">
        <v>2013</v>
      </c>
      <c r="E13" s="1">
        <v>2014</v>
      </c>
      <c r="F13" s="1">
        <v>2015</v>
      </c>
      <c r="G13" s="1">
        <v>2016</v>
      </c>
      <c r="H13" s="1">
        <v>2017</v>
      </c>
      <c r="I13" s="1">
        <v>2018</v>
      </c>
      <c r="J13" s="1">
        <v>2019</v>
      </c>
      <c r="K13" s="1">
        <v>2020</v>
      </c>
      <c r="L13" s="1">
        <v>2021</v>
      </c>
      <c r="M13" s="1">
        <v>2022</v>
      </c>
      <c r="N13" s="1">
        <v>2023</v>
      </c>
      <c r="O13" s="1">
        <v>2024</v>
      </c>
      <c r="P13" s="1">
        <v>2025</v>
      </c>
      <c r="Q13" s="1">
        <v>2026</v>
      </c>
      <c r="S13" s="1" t="s">
        <v>53</v>
      </c>
    </row>
    <row r="14" spans="1:19" s="8" customFormat="1" ht="6" customHeight="1"/>
    <row r="15" spans="1:19" s="8" customFormat="1">
      <c r="B15" s="27" t="s">
        <v>47</v>
      </c>
      <c r="C15" s="14">
        <v>41310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/>
    </row>
    <row r="16" spans="1:19" s="8" customFormat="1">
      <c r="B16" s="8" t="s">
        <v>42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/>
    </row>
    <row r="17" spans="2:20" s="8" customFormat="1">
      <c r="B17" s="8" t="s">
        <v>43</v>
      </c>
      <c r="C17" s="8">
        <f>SUM(C34:C35)</f>
        <v>0</v>
      </c>
      <c r="D17" s="8">
        <f t="shared" ref="D17:Q17" si="0">SUM(D34:D35)</f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 t="shared" si="0"/>
        <v>0</v>
      </c>
    </row>
    <row r="18" spans="2:20" s="8" customFormat="1">
      <c r="B18" s="8" t="s">
        <v>45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/>
    </row>
    <row r="19" spans="2:20" s="8" customFormat="1">
      <c r="B19" s="33" t="s">
        <v>38</v>
      </c>
      <c r="C19" s="8">
        <f>C15-C16-C17+C18</f>
        <v>41310</v>
      </c>
      <c r="D19" s="8">
        <f t="shared" ref="D19:Q19" si="1">D15-D16-D17+D18</f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 t="shared" si="1"/>
        <v>0</v>
      </c>
      <c r="K19" s="8">
        <f t="shared" si="1"/>
        <v>0</v>
      </c>
      <c r="L19" s="8">
        <f t="shared" si="1"/>
        <v>0</v>
      </c>
      <c r="M19" s="8">
        <f t="shared" si="1"/>
        <v>0</v>
      </c>
      <c r="N19" s="8">
        <f t="shared" si="1"/>
        <v>0</v>
      </c>
      <c r="O19" s="8">
        <f t="shared" si="1"/>
        <v>0</v>
      </c>
      <c r="P19" s="8">
        <f t="shared" si="1"/>
        <v>0</v>
      </c>
      <c r="Q19" s="8">
        <f t="shared" si="1"/>
        <v>0</v>
      </c>
    </row>
    <row r="20" spans="2:20" s="8" customFormat="1">
      <c r="B20" s="33" t="s">
        <v>40</v>
      </c>
      <c r="C20" s="8">
        <f>C19/(1+$C$9)^(C13-$C$13)</f>
        <v>41310</v>
      </c>
      <c r="D20" s="8">
        <f>D19/(1+$C$10)^(D13-$C$13)</f>
        <v>0</v>
      </c>
      <c r="E20" s="8">
        <f t="shared" ref="E20:Q20" si="2">E19/(1+$C$10)^(E13-$C$13)</f>
        <v>0</v>
      </c>
      <c r="F20" s="8">
        <f t="shared" si="2"/>
        <v>0</v>
      </c>
      <c r="G20" s="8">
        <f t="shared" si="2"/>
        <v>0</v>
      </c>
      <c r="H20" s="8">
        <f t="shared" si="2"/>
        <v>0</v>
      </c>
      <c r="I20" s="8">
        <f t="shared" si="2"/>
        <v>0</v>
      </c>
      <c r="J20" s="8">
        <f t="shared" si="2"/>
        <v>0</v>
      </c>
      <c r="K20" s="8">
        <f t="shared" si="2"/>
        <v>0</v>
      </c>
      <c r="L20" s="8">
        <f t="shared" si="2"/>
        <v>0</v>
      </c>
      <c r="M20" s="8">
        <f t="shared" si="2"/>
        <v>0</v>
      </c>
      <c r="N20" s="8">
        <f t="shared" si="2"/>
        <v>0</v>
      </c>
      <c r="O20" s="8">
        <f t="shared" si="2"/>
        <v>0</v>
      </c>
      <c r="P20" s="8">
        <f t="shared" si="2"/>
        <v>0</v>
      </c>
      <c r="Q20" s="8">
        <f t="shared" si="2"/>
        <v>0</v>
      </c>
      <c r="S20" s="8">
        <f>SUM(C20:R20)</f>
        <v>41310</v>
      </c>
    </row>
    <row r="21" spans="2:20" s="8" customFormat="1"/>
    <row r="22" spans="2:20" s="8" customFormat="1">
      <c r="B22" s="27" t="s">
        <v>57</v>
      </c>
    </row>
    <row r="23" spans="2:20" s="8" customFormat="1">
      <c r="B23" s="28" t="s">
        <v>58</v>
      </c>
      <c r="C23" s="14">
        <v>0</v>
      </c>
      <c r="D23" s="14">
        <v>11016</v>
      </c>
      <c r="E23" s="14">
        <v>11016</v>
      </c>
      <c r="F23" s="14">
        <v>11016</v>
      </c>
      <c r="G23" s="14">
        <v>11016</v>
      </c>
      <c r="H23" s="14">
        <v>11016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/>
    </row>
    <row r="24" spans="2:20" s="8" customFormat="1">
      <c r="B24" s="28" t="s">
        <v>58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/>
    </row>
    <row r="25" spans="2:20" s="8" customFormat="1">
      <c r="B25" s="29" t="s">
        <v>59</v>
      </c>
      <c r="C25" s="8">
        <f>C37</f>
        <v>0</v>
      </c>
      <c r="D25" s="8">
        <f>D37</f>
        <v>0</v>
      </c>
      <c r="E25" s="8">
        <f t="shared" ref="E25:Q25" si="3">E37</f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</row>
    <row r="26" spans="2:20" s="8" customFormat="1">
      <c r="B26" s="14" t="s">
        <v>36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/>
    </row>
    <row r="27" spans="2:20" s="8" customFormat="1">
      <c r="B27" s="33" t="s">
        <v>39</v>
      </c>
      <c r="C27" s="8">
        <f>SUM(C23:C25)-C26</f>
        <v>0</v>
      </c>
      <c r="D27" s="8">
        <f>SUM(D23:D25)-D26</f>
        <v>11016</v>
      </c>
      <c r="E27" s="8">
        <f t="shared" ref="E27:Q27" si="4">SUM(E23:E25)-E26</f>
        <v>11016</v>
      </c>
      <c r="F27" s="8">
        <f t="shared" si="4"/>
        <v>11016</v>
      </c>
      <c r="G27" s="8">
        <f t="shared" si="4"/>
        <v>11016</v>
      </c>
      <c r="H27" s="8">
        <f t="shared" si="4"/>
        <v>11016</v>
      </c>
      <c r="I27" s="8">
        <f t="shared" si="4"/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0</v>
      </c>
      <c r="P27" s="8">
        <f t="shared" si="4"/>
        <v>0</v>
      </c>
      <c r="Q27" s="8">
        <f t="shared" si="4"/>
        <v>0</v>
      </c>
    </row>
    <row r="28" spans="2:20" s="8" customFormat="1">
      <c r="B28" s="33" t="s">
        <v>41</v>
      </c>
      <c r="C28" s="8">
        <f>C27/(1+$C$10)^(C13-$C$13)</f>
        <v>0</v>
      </c>
      <c r="D28" s="8">
        <f t="shared" ref="D28:Q28" si="5">D27/(1+$C$10)^(D13-$C$13)</f>
        <v>11016</v>
      </c>
      <c r="E28" s="8">
        <f t="shared" si="5"/>
        <v>9425.4476759722293</v>
      </c>
      <c r="F28" s="8">
        <f t="shared" si="5"/>
        <v>8064.5482836320152</v>
      </c>
      <c r="G28" s="8">
        <f t="shared" si="5"/>
        <v>6900.1432350876175</v>
      </c>
      <c r="H28" s="8">
        <f t="shared" si="5"/>
        <v>5903.8615667240456</v>
      </c>
      <c r="I28" s="8">
        <f t="shared" si="5"/>
        <v>0</v>
      </c>
      <c r="J28" s="8">
        <f t="shared" si="5"/>
        <v>0</v>
      </c>
      <c r="K28" s="8">
        <f t="shared" si="5"/>
        <v>0</v>
      </c>
      <c r="L28" s="8">
        <f t="shared" si="5"/>
        <v>0</v>
      </c>
      <c r="M28" s="8">
        <f t="shared" si="5"/>
        <v>0</v>
      </c>
      <c r="N28" s="8">
        <f t="shared" si="5"/>
        <v>0</v>
      </c>
      <c r="O28" s="8">
        <f t="shared" si="5"/>
        <v>0</v>
      </c>
      <c r="P28" s="8">
        <f t="shared" si="5"/>
        <v>0</v>
      </c>
      <c r="Q28" s="8">
        <f t="shared" si="5"/>
        <v>0</v>
      </c>
      <c r="S28" s="8">
        <f>SUM(C28:R28)</f>
        <v>41310.000761415911</v>
      </c>
      <c r="T28" s="8">
        <f>SUM(C20:R20)-SUM(C28:R28)</f>
        <v>-7.6141591125633568E-4</v>
      </c>
    </row>
    <row r="29" spans="2:20" s="8" customFormat="1">
      <c r="S29" s="8">
        <f>+S20-S28</f>
        <v>-7.6141591125633568E-4</v>
      </c>
      <c r="T29" s="8" t="b">
        <f>+T28=S29</f>
        <v>1</v>
      </c>
    </row>
    <row r="30" spans="2:20" s="8" customFormat="1">
      <c r="B30" s="8" t="s">
        <v>37</v>
      </c>
      <c r="C30" s="8">
        <f t="shared" ref="C30:Q30" si="6">C19-C27</f>
        <v>41310</v>
      </c>
      <c r="D30" s="8">
        <f t="shared" si="6"/>
        <v>-11016</v>
      </c>
      <c r="E30" s="8">
        <f t="shared" si="6"/>
        <v>-11016</v>
      </c>
      <c r="F30" s="8">
        <f t="shared" si="6"/>
        <v>-11016</v>
      </c>
      <c r="G30" s="8">
        <f t="shared" si="6"/>
        <v>-11016</v>
      </c>
      <c r="H30" s="8">
        <f t="shared" si="6"/>
        <v>-11016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si="6"/>
        <v>0</v>
      </c>
      <c r="M30" s="8">
        <f t="shared" si="6"/>
        <v>0</v>
      </c>
      <c r="N30" s="8">
        <f t="shared" si="6"/>
        <v>0</v>
      </c>
      <c r="O30" s="8">
        <f t="shared" si="6"/>
        <v>0</v>
      </c>
      <c r="P30" s="8">
        <f t="shared" si="6"/>
        <v>0</v>
      </c>
      <c r="Q30" s="8">
        <f t="shared" si="6"/>
        <v>0</v>
      </c>
    </row>
    <row r="31" spans="2:20" s="8" customFormat="1">
      <c r="B31" s="13" t="s">
        <v>49</v>
      </c>
      <c r="C31" s="8">
        <f t="shared" ref="C31:Q31" si="7">+C20-C28</f>
        <v>41310</v>
      </c>
      <c r="D31" s="8">
        <f t="shared" si="7"/>
        <v>-11016</v>
      </c>
      <c r="E31" s="8">
        <f t="shared" si="7"/>
        <v>-9425.4476759722293</v>
      </c>
      <c r="F31" s="8">
        <f t="shared" si="7"/>
        <v>-8064.5482836320152</v>
      </c>
      <c r="G31" s="8">
        <f t="shared" si="7"/>
        <v>-6900.1432350876175</v>
      </c>
      <c r="H31" s="8">
        <f t="shared" si="7"/>
        <v>-5903.8615667240456</v>
      </c>
      <c r="I31" s="8">
        <f t="shared" si="7"/>
        <v>0</v>
      </c>
      <c r="J31" s="8">
        <f t="shared" si="7"/>
        <v>0</v>
      </c>
      <c r="K31" s="8">
        <f t="shared" si="7"/>
        <v>0</v>
      </c>
      <c r="L31" s="8">
        <f t="shared" si="7"/>
        <v>0</v>
      </c>
      <c r="M31" s="8">
        <f t="shared" si="7"/>
        <v>0</v>
      </c>
      <c r="N31" s="8">
        <f t="shared" si="7"/>
        <v>0</v>
      </c>
      <c r="O31" s="8">
        <f t="shared" si="7"/>
        <v>0</v>
      </c>
      <c r="P31" s="8">
        <f t="shared" si="7"/>
        <v>0</v>
      </c>
      <c r="Q31" s="8">
        <f t="shared" si="7"/>
        <v>0</v>
      </c>
      <c r="S31" s="8">
        <f>SUM(C31:R31)</f>
        <v>-7.6141590943734627E-4</v>
      </c>
      <c r="T31" s="8" t="s">
        <v>61</v>
      </c>
    </row>
    <row r="32" spans="2:20" s="8" customFormat="1"/>
    <row r="33" spans="2:18" s="8" customFormat="1">
      <c r="B33" s="32" t="s">
        <v>44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4"/>
    </row>
    <row r="34" spans="2:18" s="26" customFormat="1">
      <c r="B34" s="25" t="s">
        <v>56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/>
      <c r="R34" s="25"/>
    </row>
    <row r="35" spans="2:18" s="26" customFormat="1">
      <c r="B35" s="25" t="s">
        <v>56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/>
    </row>
    <row r="36" spans="2:18" s="26" customFormat="1" ht="28.5" customHeight="1">
      <c r="B36" s="30" t="s">
        <v>35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/>
    </row>
    <row r="37" spans="2:18" s="26" customFormat="1">
      <c r="B37" s="31" t="s">
        <v>60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/>
    </row>
    <row r="38" spans="2:18" s="8" customFormat="1"/>
    <row r="40" spans="2:18" s="8" customFormat="1"/>
    <row r="41" spans="2:18" s="8" customFormat="1"/>
    <row r="42" spans="2:18" s="8" customFormat="1"/>
    <row r="43" spans="2:18" s="8" customFormat="1"/>
    <row r="44" spans="2:18" s="8" customFormat="1"/>
    <row r="45" spans="2:18">
      <c r="B45" s="9" t="s">
        <v>34</v>
      </c>
    </row>
    <row r="46" spans="2:18">
      <c r="B46" s="4"/>
    </row>
    <row r="47" spans="2:18">
      <c r="B47" s="4"/>
    </row>
    <row r="48" spans="2:18">
      <c r="B48" s="5"/>
    </row>
    <row r="49" spans="1:23">
      <c r="B49" s="5"/>
    </row>
    <row r="50" spans="1:23">
      <c r="B50" s="5"/>
    </row>
    <row r="51" spans="1:23">
      <c r="B51" s="5"/>
    </row>
    <row r="52" spans="1:23">
      <c r="B52" s="5"/>
    </row>
    <row r="53" spans="1:23">
      <c r="B53" s="5"/>
    </row>
    <row r="54" spans="1:23">
      <c r="B54" s="5"/>
    </row>
    <row r="55" spans="1:23">
      <c r="B55" s="5"/>
    </row>
    <row r="56" spans="1:23">
      <c r="B56" s="5"/>
    </row>
    <row r="57" spans="1:23" hidden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3" s="6" customFormat="1" ht="25.5" hidden="1">
      <c r="C58" s="6" t="s">
        <v>5</v>
      </c>
      <c r="D58" s="6" t="s">
        <v>7</v>
      </c>
      <c r="E58" s="6" t="s">
        <v>28</v>
      </c>
      <c r="F58" s="6" t="s">
        <v>9</v>
      </c>
      <c r="G58" s="6" t="s">
        <v>26</v>
      </c>
      <c r="H58" s="6" t="s">
        <v>11</v>
      </c>
      <c r="I58" s="6" t="s">
        <v>18</v>
      </c>
      <c r="J58" s="6" t="s">
        <v>13</v>
      </c>
      <c r="K58" s="6" t="s">
        <v>20</v>
      </c>
      <c r="L58" s="6" t="s">
        <v>3</v>
      </c>
      <c r="M58" s="6" t="s">
        <v>22</v>
      </c>
      <c r="N58" s="6" t="s">
        <v>14</v>
      </c>
      <c r="O58" s="6" t="s">
        <v>0</v>
      </c>
      <c r="P58" s="6" t="s">
        <v>16</v>
      </c>
      <c r="Q58" s="6" t="s">
        <v>29</v>
      </c>
      <c r="S58" s="6" t="s">
        <v>24</v>
      </c>
    </row>
    <row r="59" spans="1:23" s="6" customFormat="1" ht="76.5" hidden="1">
      <c r="C59" s="6" t="s">
        <v>6</v>
      </c>
      <c r="D59" s="6" t="s">
        <v>8</v>
      </c>
      <c r="E59" s="6" t="s">
        <v>27</v>
      </c>
      <c r="F59" s="6" t="s">
        <v>10</v>
      </c>
      <c r="G59" s="6" t="s">
        <v>27</v>
      </c>
      <c r="H59" s="6" t="s">
        <v>12</v>
      </c>
      <c r="I59" s="6" t="s">
        <v>19</v>
      </c>
      <c r="J59" s="6" t="s">
        <v>4</v>
      </c>
      <c r="K59" s="6" t="s">
        <v>21</v>
      </c>
      <c r="L59" s="6" t="s">
        <v>4</v>
      </c>
      <c r="M59" s="6" t="s">
        <v>23</v>
      </c>
      <c r="N59" s="6" t="s">
        <v>15</v>
      </c>
      <c r="O59" s="6" t="s">
        <v>1</v>
      </c>
      <c r="P59" s="6" t="s">
        <v>17</v>
      </c>
      <c r="Q59" s="6" t="s">
        <v>30</v>
      </c>
      <c r="S59" s="6" t="s">
        <v>25</v>
      </c>
    </row>
    <row r="60" spans="1:23" hidden="1">
      <c r="C60" s="2" t="s">
        <v>31</v>
      </c>
      <c r="D60" s="2" t="s">
        <v>31</v>
      </c>
      <c r="E60" s="2" t="s">
        <v>2</v>
      </c>
      <c r="F60" s="2" t="s">
        <v>31</v>
      </c>
      <c r="G60" s="2" t="s">
        <v>2</v>
      </c>
      <c r="H60" s="2" t="s">
        <v>31</v>
      </c>
      <c r="I60" s="2" t="s">
        <v>2</v>
      </c>
      <c r="J60" s="2" t="s">
        <v>31</v>
      </c>
      <c r="K60" s="2" t="s">
        <v>2</v>
      </c>
      <c r="L60" s="2" t="s">
        <v>31</v>
      </c>
      <c r="M60" s="2" t="s">
        <v>2</v>
      </c>
      <c r="N60" s="2" t="s">
        <v>31</v>
      </c>
      <c r="O60" s="2" t="s">
        <v>31</v>
      </c>
      <c r="P60" s="2" t="s">
        <v>31</v>
      </c>
      <c r="Q60" s="2" t="s">
        <v>2</v>
      </c>
      <c r="S60" s="2" t="s">
        <v>2</v>
      </c>
    </row>
    <row r="61" spans="1:23" hidden="1">
      <c r="C61" s="2">
        <v>2012</v>
      </c>
      <c r="D61" s="2">
        <v>2018</v>
      </c>
      <c r="E61" s="2">
        <v>2018</v>
      </c>
      <c r="F61" s="2">
        <v>2019</v>
      </c>
      <c r="G61" s="2">
        <v>2019</v>
      </c>
      <c r="H61" s="2">
        <v>2020</v>
      </c>
      <c r="I61" s="2">
        <v>2020</v>
      </c>
      <c r="J61" s="2">
        <v>2021</v>
      </c>
      <c r="K61" s="2">
        <v>2021</v>
      </c>
      <c r="L61" s="2">
        <v>2022</v>
      </c>
      <c r="M61" s="2">
        <v>2022</v>
      </c>
      <c r="N61" s="2">
        <v>2023</v>
      </c>
      <c r="O61" s="2">
        <v>2024</v>
      </c>
      <c r="P61" s="2">
        <v>2025</v>
      </c>
      <c r="Q61" s="2">
        <v>2025</v>
      </c>
      <c r="S61" s="2">
        <v>2026</v>
      </c>
      <c r="U61" s="7"/>
      <c r="V61" s="7"/>
      <c r="W61" s="7"/>
    </row>
    <row r="62" spans="1:23" hidden="1">
      <c r="C62" s="2">
        <v>20</v>
      </c>
      <c r="D62" s="2">
        <v>15</v>
      </c>
      <c r="E62" s="2">
        <v>20</v>
      </c>
      <c r="F62" s="2">
        <v>15</v>
      </c>
      <c r="G62" s="2">
        <v>20</v>
      </c>
      <c r="H62" s="2">
        <v>15</v>
      </c>
      <c r="I62" s="2">
        <v>15</v>
      </c>
      <c r="J62" s="2">
        <v>15</v>
      </c>
      <c r="K62" s="2">
        <v>17</v>
      </c>
      <c r="L62" s="2">
        <v>15</v>
      </c>
      <c r="M62" s="2">
        <v>17</v>
      </c>
      <c r="N62" s="2">
        <v>15</v>
      </c>
      <c r="O62" s="2">
        <v>15</v>
      </c>
      <c r="P62" s="2">
        <v>15</v>
      </c>
      <c r="Q62" s="2">
        <v>17</v>
      </c>
      <c r="S62" s="2">
        <v>15</v>
      </c>
    </row>
    <row r="63" spans="1:23" hidden="1">
      <c r="B63" s="2" t="s">
        <v>32</v>
      </c>
      <c r="C63" s="2">
        <v>450000</v>
      </c>
      <c r="D63" s="2">
        <v>519841</v>
      </c>
      <c r="E63" s="2">
        <v>291747.5</v>
      </c>
      <c r="F63" s="2">
        <v>519841</v>
      </c>
      <c r="G63" s="2">
        <v>291747.5</v>
      </c>
      <c r="H63" s="2">
        <v>519841</v>
      </c>
      <c r="I63" s="2">
        <v>291747.5</v>
      </c>
      <c r="J63" s="2">
        <v>519841</v>
      </c>
      <c r="K63" s="2">
        <v>291747.5</v>
      </c>
      <c r="L63" s="2">
        <v>519841</v>
      </c>
      <c r="M63" s="2">
        <v>291747.5</v>
      </c>
      <c r="N63" s="2">
        <v>519841</v>
      </c>
      <c r="O63" s="2">
        <v>519841</v>
      </c>
      <c r="P63" s="2">
        <v>519841</v>
      </c>
      <c r="Q63" s="2">
        <v>291747.5</v>
      </c>
      <c r="S63" s="2">
        <v>228093.5</v>
      </c>
    </row>
    <row r="64" spans="1:23" hidden="1">
      <c r="B64" s="2" t="s">
        <v>33</v>
      </c>
      <c r="C64" s="3">
        <v>9216.2191111111115</v>
      </c>
      <c r="D64" s="3">
        <v>9216.2191111111115</v>
      </c>
      <c r="E64" s="3">
        <v>4335.6760000000004</v>
      </c>
      <c r="F64" s="3">
        <v>9216.2191111111115</v>
      </c>
      <c r="G64" s="3">
        <v>4335.6760000000004</v>
      </c>
      <c r="H64" s="3">
        <v>9216.2191111111115</v>
      </c>
      <c r="I64" s="3">
        <v>4335.6760000000004</v>
      </c>
      <c r="J64" s="3">
        <v>9216.2191111111115</v>
      </c>
      <c r="K64" s="3">
        <v>4335.6760000000004</v>
      </c>
      <c r="L64" s="3">
        <v>9216.2191111111115</v>
      </c>
      <c r="M64" s="3">
        <v>4335.6760000000004</v>
      </c>
      <c r="N64" s="3">
        <v>9216.2191111111115</v>
      </c>
      <c r="O64" s="3">
        <v>9216.2191111111115</v>
      </c>
      <c r="P64" s="3">
        <v>9216.2191111111115</v>
      </c>
      <c r="Q64" s="3">
        <v>4335.6760000000004</v>
      </c>
      <c r="R64" s="3"/>
      <c r="S64" s="3">
        <v>4335.6760000000004</v>
      </c>
      <c r="T64" s="3"/>
      <c r="U64" s="3"/>
      <c r="V64" s="3"/>
      <c r="W64" s="3"/>
    </row>
  </sheetData>
  <pageMargins left="0.45" right="0.45" top="0.75" bottom="0.75" header="0.3" footer="0.3"/>
  <pageSetup paperSize="5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Calc_IRR_using_Goal_Seek">
                <anchor moveWithCells="1" sizeWithCells="1">
                  <from>
                    <xdr:col>4</xdr:col>
                    <xdr:colOff>76200</xdr:colOff>
                    <xdr:row>6</xdr:row>
                    <xdr:rowOff>76200</xdr:rowOff>
                  </from>
                  <to>
                    <xdr:col>5</xdr:col>
                    <xdr:colOff>381000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W36"/>
  <sheetViews>
    <sheetView workbookViewId="0">
      <selection sqref="A1:B1"/>
    </sheetView>
  </sheetViews>
  <sheetFormatPr defaultRowHeight="12.75"/>
  <cols>
    <col min="1" max="1" width="28.7109375" style="16" customWidth="1"/>
    <col min="2" max="6" width="14.42578125" style="16" customWidth="1"/>
    <col min="7" max="12" width="10.85546875" style="16" bestFit="1" customWidth="1"/>
    <col min="13" max="13" width="11.85546875" style="16" bestFit="1" customWidth="1"/>
    <col min="14" max="22" width="9.7109375" style="16" bestFit="1" customWidth="1"/>
    <col min="23" max="23" width="12.5703125" style="16" bestFit="1" customWidth="1"/>
    <col min="24" max="16384" width="9.140625" style="16"/>
  </cols>
  <sheetData>
    <row r="1" spans="1:9" ht="15.75">
      <c r="A1" s="467" t="s">
        <v>397</v>
      </c>
      <c r="B1" s="467"/>
      <c r="C1" s="468"/>
      <c r="D1" s="468"/>
    </row>
    <row r="2" spans="1:9" ht="18">
      <c r="A2" s="144" t="s">
        <v>121</v>
      </c>
      <c r="B2" s="145"/>
      <c r="C2" s="145"/>
      <c r="D2" s="145"/>
      <c r="E2" s="145"/>
      <c r="F2" s="145"/>
    </row>
    <row r="4" spans="1:9">
      <c r="A4" s="17" t="s">
        <v>122</v>
      </c>
      <c r="B4" s="146" t="s">
        <v>123</v>
      </c>
    </row>
    <row r="5" spans="1:9">
      <c r="A5" s="17" t="s">
        <v>124</v>
      </c>
      <c r="B5" s="147" t="s">
        <v>123</v>
      </c>
    </row>
    <row r="6" spans="1:9">
      <c r="A6" s="17" t="s">
        <v>125</v>
      </c>
      <c r="B6" s="147" t="s">
        <v>123</v>
      </c>
    </row>
    <row r="7" spans="1:9">
      <c r="A7" s="17"/>
    </row>
    <row r="8" spans="1:9">
      <c r="A8" s="17"/>
    </row>
    <row r="9" spans="1:9">
      <c r="A9" s="17" t="s">
        <v>126</v>
      </c>
      <c r="B9" s="148">
        <v>0</v>
      </c>
    </row>
    <row r="10" spans="1:9">
      <c r="A10" s="17" t="s">
        <v>127</v>
      </c>
      <c r="B10" s="149">
        <v>20</v>
      </c>
    </row>
    <row r="11" spans="1:9" ht="13.5" thickBot="1"/>
    <row r="12" spans="1:9" ht="115.5" customHeight="1" thickBot="1">
      <c r="A12" s="150" t="s">
        <v>128</v>
      </c>
      <c r="B12" s="473" t="s">
        <v>123</v>
      </c>
      <c r="C12" s="474"/>
      <c r="D12" s="474"/>
      <c r="E12" s="474"/>
      <c r="F12" s="475"/>
    </row>
    <row r="13" spans="1:9" ht="15.75" customHeight="1">
      <c r="A13" s="17"/>
      <c r="B13" s="151"/>
      <c r="C13" s="152"/>
      <c r="D13" s="152"/>
      <c r="E13" s="152"/>
      <c r="F13" s="152"/>
    </row>
    <row r="14" spans="1:9" ht="13.5" customHeight="1">
      <c r="A14" s="17"/>
      <c r="B14" s="151"/>
      <c r="C14" s="152"/>
      <c r="D14" s="152"/>
      <c r="E14" s="152"/>
    </row>
    <row r="15" spans="1:9">
      <c r="B15" s="18">
        <f>+B27</f>
        <v>2015</v>
      </c>
      <c r="C15" s="18">
        <f>+B15+1</f>
        <v>2016</v>
      </c>
      <c r="D15" s="18">
        <f>+C15+1</f>
        <v>2017</v>
      </c>
      <c r="E15" s="18">
        <f>+D15+1</f>
        <v>2018</v>
      </c>
      <c r="F15" s="153" t="str">
        <f>+E15+1&amp;"+"</f>
        <v>2019+</v>
      </c>
    </row>
    <row r="16" spans="1:9">
      <c r="A16" s="16" t="s">
        <v>129</v>
      </c>
      <c r="B16" s="154">
        <f>-B9</f>
        <v>0</v>
      </c>
      <c r="C16" s="155">
        <v>0</v>
      </c>
      <c r="D16" s="156">
        <v>0</v>
      </c>
      <c r="E16" s="156">
        <v>0</v>
      </c>
      <c r="F16" s="156">
        <v>0</v>
      </c>
      <c r="I16" s="16" t="s">
        <v>130</v>
      </c>
    </row>
    <row r="17" spans="1:23">
      <c r="A17" s="16" t="s">
        <v>131</v>
      </c>
      <c r="B17" s="154">
        <v>0</v>
      </c>
      <c r="C17" s="155">
        <v>15921.539695674823</v>
      </c>
      <c r="D17" s="154">
        <f>C17*1.05</f>
        <v>16717.616680458563</v>
      </c>
      <c r="E17" s="154">
        <f>D17*1.05</f>
        <v>17553.497514481493</v>
      </c>
      <c r="F17" s="154">
        <f>SUM(F28:V28)</f>
        <v>298409.4577461853</v>
      </c>
      <c r="I17" s="16" t="s">
        <v>394</v>
      </c>
    </row>
    <row r="18" spans="1:23" ht="15">
      <c r="A18" s="16" t="s">
        <v>132</v>
      </c>
      <c r="B18" s="157">
        <v>0</v>
      </c>
      <c r="C18" s="158">
        <v>0</v>
      </c>
      <c r="D18" s="157">
        <f>C18</f>
        <v>0</v>
      </c>
      <c r="E18" s="157">
        <f>D18</f>
        <v>0</v>
      </c>
      <c r="F18" s="157">
        <f>+E18</f>
        <v>0</v>
      </c>
      <c r="I18" s="16" t="s">
        <v>133</v>
      </c>
    </row>
    <row r="19" spans="1:23" ht="15">
      <c r="A19" s="17" t="s">
        <v>134</v>
      </c>
      <c r="B19" s="159">
        <f>SUM(B16:B18)</f>
        <v>0</v>
      </c>
      <c r="C19" s="159">
        <f t="shared" ref="C19:F19" si="0">SUM(C16:C18)</f>
        <v>15921.539695674823</v>
      </c>
      <c r="D19" s="159">
        <f t="shared" si="0"/>
        <v>16717.616680458563</v>
      </c>
      <c r="E19" s="159">
        <f t="shared" si="0"/>
        <v>17553.497514481493</v>
      </c>
      <c r="F19" s="159">
        <f t="shared" si="0"/>
        <v>298409.4577461853</v>
      </c>
    </row>
    <row r="21" spans="1:23" ht="13.5" thickBot="1"/>
    <row r="22" spans="1:23" ht="13.5" thickBot="1">
      <c r="A22" s="160" t="s">
        <v>135</v>
      </c>
      <c r="B22" s="161">
        <v>0.125</v>
      </c>
    </row>
    <row r="25" spans="1:23">
      <c r="C25" s="162"/>
    </row>
    <row r="26" spans="1:23">
      <c r="C26" s="16">
        <v>1</v>
      </c>
      <c r="D26" s="16">
        <v>2</v>
      </c>
      <c r="E26" s="16">
        <v>3</v>
      </c>
      <c r="F26" s="16">
        <v>4</v>
      </c>
      <c r="G26" s="16">
        <v>5</v>
      </c>
      <c r="H26" s="16">
        <v>6</v>
      </c>
      <c r="I26" s="16">
        <v>7</v>
      </c>
      <c r="J26" s="16">
        <v>8</v>
      </c>
      <c r="K26" s="16">
        <v>9</v>
      </c>
      <c r="L26" s="16">
        <v>10</v>
      </c>
      <c r="M26" s="16">
        <v>11</v>
      </c>
      <c r="N26" s="16">
        <v>12</v>
      </c>
      <c r="O26" s="16">
        <v>13</v>
      </c>
      <c r="P26" s="16">
        <v>14</v>
      </c>
      <c r="Q26" s="16">
        <v>15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</row>
    <row r="27" spans="1:23">
      <c r="A27" s="163" t="s">
        <v>136</v>
      </c>
      <c r="B27" s="147">
        <v>2015</v>
      </c>
      <c r="C27" s="16">
        <f>+B27+1</f>
        <v>2016</v>
      </c>
      <c r="D27" s="16">
        <f t="shared" ref="D27:V27" si="1">+C27+1</f>
        <v>2017</v>
      </c>
      <c r="E27" s="16">
        <f t="shared" si="1"/>
        <v>2018</v>
      </c>
      <c r="F27" s="16">
        <f t="shared" si="1"/>
        <v>2019</v>
      </c>
      <c r="G27" s="16">
        <f t="shared" si="1"/>
        <v>2020</v>
      </c>
      <c r="H27" s="16">
        <f t="shared" si="1"/>
        <v>2021</v>
      </c>
      <c r="I27" s="16">
        <f t="shared" si="1"/>
        <v>2022</v>
      </c>
      <c r="J27" s="16">
        <f t="shared" si="1"/>
        <v>2023</v>
      </c>
      <c r="K27" s="16">
        <f t="shared" si="1"/>
        <v>2024</v>
      </c>
      <c r="L27" s="16">
        <f t="shared" si="1"/>
        <v>2025</v>
      </c>
      <c r="M27" s="16">
        <f t="shared" si="1"/>
        <v>2026</v>
      </c>
      <c r="N27" s="16">
        <f t="shared" si="1"/>
        <v>2027</v>
      </c>
      <c r="O27" s="16">
        <f t="shared" si="1"/>
        <v>2028</v>
      </c>
      <c r="P27" s="16">
        <f t="shared" si="1"/>
        <v>2029</v>
      </c>
      <c r="Q27" s="16">
        <f t="shared" si="1"/>
        <v>2030</v>
      </c>
      <c r="R27" s="16">
        <f t="shared" si="1"/>
        <v>2031</v>
      </c>
      <c r="S27" s="16">
        <f t="shared" si="1"/>
        <v>2032</v>
      </c>
      <c r="T27" s="16">
        <f t="shared" si="1"/>
        <v>2033</v>
      </c>
      <c r="U27" s="16">
        <f t="shared" si="1"/>
        <v>2034</v>
      </c>
      <c r="V27" s="16">
        <f t="shared" si="1"/>
        <v>2035</v>
      </c>
    </row>
    <row r="28" spans="1:23">
      <c r="B28" s="154">
        <f>B19</f>
        <v>0</v>
      </c>
      <c r="C28" s="154">
        <f>C19</f>
        <v>15921.539695674823</v>
      </c>
      <c r="D28" s="154">
        <f t="shared" ref="D28:E28" si="2">D19</f>
        <v>16717.616680458563</v>
      </c>
      <c r="E28" s="154">
        <f t="shared" si="2"/>
        <v>17553.497514481493</v>
      </c>
      <c r="F28" s="154">
        <f>E28</f>
        <v>17553.497514481493</v>
      </c>
      <c r="G28" s="154">
        <f>F28</f>
        <v>17553.497514481493</v>
      </c>
      <c r="H28" s="154">
        <f t="shared" ref="H28:V28" si="3">G28</f>
        <v>17553.497514481493</v>
      </c>
      <c r="I28" s="154">
        <f t="shared" si="3"/>
        <v>17553.497514481493</v>
      </c>
      <c r="J28" s="154">
        <f t="shared" si="3"/>
        <v>17553.497514481493</v>
      </c>
      <c r="K28" s="154">
        <f t="shared" si="3"/>
        <v>17553.497514481493</v>
      </c>
      <c r="L28" s="154">
        <f t="shared" si="3"/>
        <v>17553.497514481493</v>
      </c>
      <c r="M28" s="154">
        <f t="shared" si="3"/>
        <v>17553.497514481493</v>
      </c>
      <c r="N28" s="154">
        <f t="shared" si="3"/>
        <v>17553.497514481493</v>
      </c>
      <c r="O28" s="154">
        <f t="shared" si="3"/>
        <v>17553.497514481493</v>
      </c>
      <c r="P28" s="154">
        <f t="shared" si="3"/>
        <v>17553.497514481493</v>
      </c>
      <c r="Q28" s="154">
        <f t="shared" si="3"/>
        <v>17553.497514481493</v>
      </c>
      <c r="R28" s="154">
        <f t="shared" si="3"/>
        <v>17553.497514481493</v>
      </c>
      <c r="S28" s="154">
        <f t="shared" si="3"/>
        <v>17553.497514481493</v>
      </c>
      <c r="T28" s="154">
        <f t="shared" si="3"/>
        <v>17553.497514481493</v>
      </c>
      <c r="U28" s="154">
        <f t="shared" si="3"/>
        <v>17553.497514481493</v>
      </c>
      <c r="V28" s="154">
        <f t="shared" si="3"/>
        <v>17553.497514481493</v>
      </c>
    </row>
    <row r="29" spans="1:23">
      <c r="B29" s="164">
        <f>B28/(1+$B$22)^(B27-$B$27)</f>
        <v>0</v>
      </c>
      <c r="C29" s="164">
        <f t="shared" ref="C29:V29" si="4">C28/(1+$B$22)^(C27-$B$27)</f>
        <v>14152.479729488732</v>
      </c>
      <c r="D29" s="164">
        <f t="shared" si="4"/>
        <v>13208.981080856149</v>
      </c>
      <c r="E29" s="164">
        <f t="shared" si="4"/>
        <v>12328.382342132407</v>
      </c>
      <c r="F29" s="164">
        <f t="shared" si="4"/>
        <v>10958.562081895472</v>
      </c>
      <c r="G29" s="164">
        <f t="shared" si="4"/>
        <v>9740.9440727959754</v>
      </c>
      <c r="H29" s="164">
        <f t="shared" si="4"/>
        <v>8658.6169535964218</v>
      </c>
      <c r="I29" s="164">
        <f t="shared" si="4"/>
        <v>7696.5484031968199</v>
      </c>
      <c r="J29" s="164">
        <f t="shared" si="4"/>
        <v>6841.3763583971731</v>
      </c>
      <c r="K29" s="164">
        <f t="shared" si="4"/>
        <v>6081.2234296863762</v>
      </c>
      <c r="L29" s="164">
        <f t="shared" si="4"/>
        <v>5405.5319374990013</v>
      </c>
      <c r="M29" s="164">
        <f t="shared" si="4"/>
        <v>4804.9172777768899</v>
      </c>
      <c r="N29" s="164">
        <f t="shared" si="4"/>
        <v>4271.037580246124</v>
      </c>
      <c r="O29" s="164">
        <f t="shared" si="4"/>
        <v>3796.4778491076663</v>
      </c>
      <c r="P29" s="164">
        <f t="shared" si="4"/>
        <v>3374.6469769845921</v>
      </c>
      <c r="Q29" s="164">
        <f t="shared" si="4"/>
        <v>2999.6862017640819</v>
      </c>
      <c r="R29" s="164">
        <f t="shared" si="4"/>
        <v>2666.387734901406</v>
      </c>
      <c r="S29" s="164">
        <f t="shared" si="4"/>
        <v>2370.122431023472</v>
      </c>
      <c r="T29" s="164">
        <f t="shared" si="4"/>
        <v>2106.7754942430861</v>
      </c>
      <c r="U29" s="164">
        <f t="shared" si="4"/>
        <v>1872.6893282160768</v>
      </c>
      <c r="V29" s="164">
        <f t="shared" si="4"/>
        <v>1664.6127361920683</v>
      </c>
      <c r="W29" s="164">
        <f>SUM(B29:V29)</f>
        <v>124999.99999999999</v>
      </c>
    </row>
    <row r="33" spans="1:1">
      <c r="A33" s="16" t="s">
        <v>137</v>
      </c>
    </row>
    <row r="34" spans="1:1">
      <c r="A34" s="16" t="s">
        <v>138</v>
      </c>
    </row>
    <row r="35" spans="1:1">
      <c r="A35" s="16" t="s">
        <v>139</v>
      </c>
    </row>
    <row r="36" spans="1:1">
      <c r="A36" s="16" t="s">
        <v>140</v>
      </c>
    </row>
  </sheetData>
  <mergeCells count="1">
    <mergeCell ref="B12:F12"/>
  </mergeCells>
  <conditionalFormatting sqref="B22">
    <cfRule type="cellIs" dxfId="0" priority="1" stopIfTrue="1" operator="lessThan">
      <formula>0</formula>
    </cfRule>
  </conditionalFormatting>
  <pageMargins left="0.75" right="0.75" top="1" bottom="1" header="0.5" footer="0.5"/>
  <pageSetup scale="120" orientation="landscape" r:id="rId1"/>
  <headerFooter alignWithMargins="0"/>
  <rowBreaks count="1" manualBreakCount="1">
    <brk id="2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123"/>
  <sheetViews>
    <sheetView zoomScale="80" zoomScaleNormal="80" workbookViewId="0">
      <pane xSplit="4" ySplit="11" topLeftCell="E12" activePane="bottomRight" state="frozen"/>
      <selection pane="topRight"/>
      <selection pane="bottomLeft"/>
      <selection pane="bottomRight" activeCell="B1" sqref="B1"/>
    </sheetView>
  </sheetViews>
  <sheetFormatPr defaultRowHeight="12.75"/>
  <cols>
    <col min="1" max="1" width="2.7109375" style="174" bestFit="1" customWidth="1"/>
    <col min="2" max="3" width="14.7109375" style="171" customWidth="1"/>
    <col min="4" max="4" width="78.140625" style="167" customWidth="1"/>
    <col min="5" max="5" width="26.28515625" style="168" customWidth="1"/>
    <col min="6" max="6" width="17.85546875" style="169" customWidth="1"/>
    <col min="7" max="7" width="17.85546875" style="170" customWidth="1"/>
    <col min="8" max="8" width="17.85546875" style="171" customWidth="1"/>
    <col min="9" max="9" width="53" style="172" customWidth="1"/>
    <col min="10" max="10" width="15.28515625" style="173" customWidth="1"/>
    <col min="11" max="11" width="12.85546875" style="170" customWidth="1"/>
    <col min="12" max="12" width="16.28515625" style="171" customWidth="1"/>
    <col min="13" max="13" width="17.85546875" style="170" customWidth="1"/>
    <col min="14" max="14" width="17.85546875" style="173" customWidth="1"/>
    <col min="15" max="15" width="19.42578125" style="171" customWidth="1"/>
    <col min="16" max="18" width="17.85546875" style="171" hidden="1" customWidth="1"/>
    <col min="19" max="19" width="42.28515625" style="167" bestFit="1" customWidth="1"/>
    <col min="20" max="16384" width="9.140625" style="174"/>
  </cols>
  <sheetData>
    <row r="1" spans="1:20" ht="15.75">
      <c r="B1" s="467" t="s">
        <v>397</v>
      </c>
      <c r="C1" s="467"/>
      <c r="D1" s="469"/>
    </row>
    <row r="3" spans="1:20">
      <c r="A3" s="165" t="s">
        <v>141</v>
      </c>
      <c r="B3" s="166"/>
      <c r="C3" s="166"/>
    </row>
    <row r="4" spans="1:20">
      <c r="A4" s="165" t="s">
        <v>142</v>
      </c>
      <c r="B4" s="166"/>
      <c r="C4" s="166"/>
    </row>
    <row r="5" spans="1:20">
      <c r="A5" s="165" t="s">
        <v>143</v>
      </c>
      <c r="B5" s="166"/>
      <c r="C5" s="166"/>
    </row>
    <row r="6" spans="1:20">
      <c r="B6" s="166"/>
      <c r="C6" s="166"/>
    </row>
    <row r="7" spans="1:20">
      <c r="B7" s="166"/>
      <c r="C7" s="166"/>
    </row>
    <row r="8" spans="1:20" ht="14.25" customHeight="1">
      <c r="B8" s="491" t="s">
        <v>144</v>
      </c>
      <c r="C8" s="491" t="s">
        <v>145</v>
      </c>
      <c r="D8" s="491" t="s">
        <v>146</v>
      </c>
      <c r="E8" s="491" t="s">
        <v>147</v>
      </c>
      <c r="F8" s="495" t="s">
        <v>148</v>
      </c>
      <c r="G8" s="488" t="s">
        <v>149</v>
      </c>
      <c r="H8" s="485" t="s">
        <v>150</v>
      </c>
      <c r="I8" s="485" t="s">
        <v>151</v>
      </c>
      <c r="J8" s="476" t="s">
        <v>152</v>
      </c>
      <c r="K8" s="488" t="s">
        <v>153</v>
      </c>
      <c r="L8" s="485" t="s">
        <v>154</v>
      </c>
      <c r="M8" s="488" t="s">
        <v>155</v>
      </c>
      <c r="N8" s="476" t="s">
        <v>156</v>
      </c>
      <c r="O8" s="479" t="s">
        <v>157</v>
      </c>
      <c r="P8" s="480"/>
      <c r="Q8" s="480"/>
      <c r="R8" s="481"/>
      <c r="S8" s="485" t="s">
        <v>158</v>
      </c>
    </row>
    <row r="9" spans="1:20" ht="14.25" customHeight="1">
      <c r="B9" s="491"/>
      <c r="C9" s="491"/>
      <c r="D9" s="491"/>
      <c r="E9" s="491"/>
      <c r="F9" s="496"/>
      <c r="G9" s="489"/>
      <c r="H9" s="486"/>
      <c r="I9" s="486"/>
      <c r="J9" s="477"/>
      <c r="K9" s="489"/>
      <c r="L9" s="486"/>
      <c r="M9" s="489"/>
      <c r="N9" s="477"/>
      <c r="O9" s="482"/>
      <c r="P9" s="483"/>
      <c r="Q9" s="483"/>
      <c r="R9" s="484"/>
      <c r="S9" s="486"/>
    </row>
    <row r="10" spans="1:20" s="167" customFormat="1" ht="14.25" customHeight="1">
      <c r="B10" s="492"/>
      <c r="C10" s="492"/>
      <c r="D10" s="493"/>
      <c r="E10" s="494"/>
      <c r="F10" s="496"/>
      <c r="G10" s="489"/>
      <c r="H10" s="486"/>
      <c r="I10" s="486"/>
      <c r="J10" s="477"/>
      <c r="K10" s="489"/>
      <c r="L10" s="486"/>
      <c r="M10" s="489"/>
      <c r="N10" s="477"/>
      <c r="O10" s="482"/>
      <c r="P10" s="483"/>
      <c r="Q10" s="483"/>
      <c r="R10" s="484"/>
      <c r="S10" s="486"/>
    </row>
    <row r="11" spans="1:20" s="175" customFormat="1" ht="14.25" customHeight="1">
      <c r="B11" s="492"/>
      <c r="C11" s="492"/>
      <c r="D11" s="493"/>
      <c r="E11" s="494"/>
      <c r="F11" s="497"/>
      <c r="G11" s="490"/>
      <c r="H11" s="487"/>
      <c r="I11" s="487"/>
      <c r="J11" s="478"/>
      <c r="K11" s="490"/>
      <c r="L11" s="487"/>
      <c r="M11" s="490"/>
      <c r="N11" s="478"/>
      <c r="O11" s="176">
        <v>2012</v>
      </c>
      <c r="P11" s="176"/>
      <c r="Q11" s="176"/>
      <c r="R11" s="176"/>
      <c r="S11" s="487"/>
    </row>
    <row r="12" spans="1:20" s="175" customFormat="1" ht="15.75" customHeight="1">
      <c r="B12" s="177"/>
      <c r="C12" s="177"/>
      <c r="D12" s="178"/>
      <c r="E12" s="179"/>
      <c r="F12" s="180"/>
      <c r="G12" s="181"/>
      <c r="H12" s="182"/>
      <c r="I12" s="183"/>
      <c r="J12" s="184"/>
      <c r="K12" s="181"/>
      <c r="L12" s="182"/>
      <c r="M12" s="181"/>
      <c r="N12" s="184"/>
      <c r="O12" s="182"/>
      <c r="P12" s="182"/>
      <c r="Q12" s="182"/>
      <c r="R12" s="182"/>
      <c r="S12" s="179"/>
    </row>
    <row r="13" spans="1:20" s="185" customFormat="1" ht="34.5" customHeight="1">
      <c r="B13" s="186">
        <v>2014</v>
      </c>
      <c r="C13" s="186">
        <v>18</v>
      </c>
      <c r="D13" s="187" t="s">
        <v>159</v>
      </c>
      <c r="E13" s="188" t="s">
        <v>160</v>
      </c>
      <c r="F13" s="189">
        <v>2194</v>
      </c>
      <c r="G13" s="190">
        <v>5517000</v>
      </c>
      <c r="H13" s="191">
        <v>0.14000000000000001</v>
      </c>
      <c r="I13" s="192" t="s">
        <v>161</v>
      </c>
      <c r="J13" s="193">
        <v>41401</v>
      </c>
      <c r="K13" s="190">
        <v>5503500</v>
      </c>
      <c r="L13" s="191" t="s">
        <v>162</v>
      </c>
      <c r="M13" s="190" t="s">
        <v>163</v>
      </c>
      <c r="N13" s="193" t="s">
        <v>163</v>
      </c>
      <c r="O13" s="193" t="s">
        <v>163</v>
      </c>
      <c r="P13" s="191"/>
      <c r="Q13" s="191"/>
      <c r="R13" s="191"/>
      <c r="S13" s="188" t="s">
        <v>164</v>
      </c>
    </row>
    <row r="14" spans="1:20" s="194" customFormat="1" ht="34.5" customHeight="1">
      <c r="B14" s="186">
        <v>2012</v>
      </c>
      <c r="C14" s="186">
        <v>19</v>
      </c>
      <c r="D14" s="187" t="s">
        <v>165</v>
      </c>
      <c r="E14" s="188" t="s">
        <v>166</v>
      </c>
      <c r="F14" s="195">
        <v>3101</v>
      </c>
      <c r="G14" s="196">
        <v>4500000</v>
      </c>
      <c r="H14" s="197">
        <v>7.0000000000000007E-2</v>
      </c>
      <c r="I14" s="198" t="s">
        <v>167</v>
      </c>
      <c r="J14" s="199">
        <v>41152</v>
      </c>
      <c r="K14" s="196">
        <v>4504527</v>
      </c>
      <c r="L14" s="197">
        <v>6.54E-2</v>
      </c>
      <c r="M14" s="199" t="s">
        <v>163</v>
      </c>
      <c r="N14" s="199" t="s">
        <v>163</v>
      </c>
      <c r="O14" s="193" t="s">
        <v>163</v>
      </c>
      <c r="P14" s="197"/>
      <c r="Q14" s="197"/>
      <c r="R14" s="197"/>
      <c r="S14" s="187"/>
    </row>
    <row r="15" spans="1:20" s="194" customFormat="1" ht="34.5" customHeight="1">
      <c r="B15" s="186">
        <v>2012</v>
      </c>
      <c r="C15" s="186">
        <v>24</v>
      </c>
      <c r="D15" s="187" t="s">
        <v>168</v>
      </c>
      <c r="E15" s="188" t="s">
        <v>166</v>
      </c>
      <c r="F15" s="189">
        <v>3094</v>
      </c>
      <c r="G15" s="190">
        <v>203280</v>
      </c>
      <c r="H15" s="191">
        <v>4.6199999999999998E-2</v>
      </c>
      <c r="I15" s="192" t="s">
        <v>169</v>
      </c>
      <c r="J15" s="193">
        <v>41228</v>
      </c>
      <c r="K15" s="190">
        <v>189881</v>
      </c>
      <c r="L15" s="191">
        <v>0.1046</v>
      </c>
      <c r="M15" s="190" t="s">
        <v>163</v>
      </c>
      <c r="N15" s="193" t="s">
        <v>163</v>
      </c>
      <c r="O15" s="193" t="s">
        <v>163</v>
      </c>
      <c r="P15" s="191"/>
      <c r="Q15" s="191"/>
      <c r="R15" s="191"/>
      <c r="S15" s="187"/>
      <c r="T15" s="194" t="s">
        <v>170</v>
      </c>
    </row>
    <row r="16" spans="1:20" s="185" customFormat="1" ht="34.5" customHeight="1">
      <c r="B16" s="200">
        <v>2014</v>
      </c>
      <c r="C16" s="200">
        <v>30</v>
      </c>
      <c r="D16" s="201" t="s">
        <v>171</v>
      </c>
      <c r="E16" s="202" t="s">
        <v>172</v>
      </c>
      <c r="F16" s="203"/>
      <c r="G16" s="204">
        <v>342000</v>
      </c>
      <c r="H16" s="205" t="s">
        <v>173</v>
      </c>
      <c r="I16" s="206" t="s">
        <v>174</v>
      </c>
      <c r="J16" s="207" t="s">
        <v>163</v>
      </c>
      <c r="K16" s="204" t="s">
        <v>163</v>
      </c>
      <c r="L16" s="205"/>
      <c r="M16" s="204">
        <v>0</v>
      </c>
      <c r="N16" s="207"/>
      <c r="O16" s="205" t="s">
        <v>163</v>
      </c>
      <c r="P16" s="205"/>
      <c r="Q16" s="205"/>
      <c r="R16" s="205"/>
      <c r="S16" s="202"/>
    </row>
    <row r="17" spans="2:19" s="185" customFormat="1" ht="34.5" customHeight="1">
      <c r="B17" s="200">
        <v>2014</v>
      </c>
      <c r="C17" s="200">
        <v>28</v>
      </c>
      <c r="D17" s="201" t="s">
        <v>175</v>
      </c>
      <c r="E17" s="202" t="s">
        <v>172</v>
      </c>
      <c r="F17" s="203"/>
      <c r="G17" s="204">
        <v>776000</v>
      </c>
      <c r="H17" s="205" t="s">
        <v>173</v>
      </c>
      <c r="I17" s="206" t="s">
        <v>174</v>
      </c>
      <c r="J17" s="208" t="s">
        <v>163</v>
      </c>
      <c r="K17" s="209" t="s">
        <v>163</v>
      </c>
      <c r="L17" s="205"/>
      <c r="M17" s="204"/>
      <c r="N17" s="207"/>
      <c r="O17" s="205" t="s">
        <v>163</v>
      </c>
      <c r="P17" s="205"/>
      <c r="Q17" s="205"/>
      <c r="R17" s="205"/>
      <c r="S17" s="202"/>
    </row>
    <row r="18" spans="2:19" s="185" customFormat="1" ht="34.5" customHeight="1">
      <c r="B18" s="200">
        <v>2013</v>
      </c>
      <c r="C18" s="200">
        <v>17</v>
      </c>
      <c r="D18" s="201" t="s">
        <v>176</v>
      </c>
      <c r="E18" s="202" t="s">
        <v>177</v>
      </c>
      <c r="F18" s="203">
        <v>3107</v>
      </c>
      <c r="G18" s="204">
        <v>4472000</v>
      </c>
      <c r="H18" s="205" t="s">
        <v>178</v>
      </c>
      <c r="I18" s="206" t="s">
        <v>179</v>
      </c>
      <c r="J18" s="207" t="s">
        <v>163</v>
      </c>
      <c r="K18" s="204" t="s">
        <v>163</v>
      </c>
      <c r="L18" s="205"/>
      <c r="M18" s="204">
        <v>2191871</v>
      </c>
      <c r="N18" s="207"/>
      <c r="O18" s="205" t="s">
        <v>163</v>
      </c>
      <c r="P18" s="205"/>
      <c r="Q18" s="205"/>
      <c r="R18" s="205"/>
      <c r="S18" s="202"/>
    </row>
    <row r="19" spans="2:19" s="185" customFormat="1" ht="34.5" customHeight="1">
      <c r="B19" s="200">
        <v>2013</v>
      </c>
      <c r="C19" s="200">
        <v>18</v>
      </c>
      <c r="D19" s="201" t="s">
        <v>180</v>
      </c>
      <c r="E19" s="202" t="s">
        <v>177</v>
      </c>
      <c r="F19" s="203"/>
      <c r="G19" s="204">
        <v>2028000</v>
      </c>
      <c r="H19" s="205" t="s">
        <v>178</v>
      </c>
      <c r="I19" s="206" t="s">
        <v>181</v>
      </c>
      <c r="J19" s="207" t="s">
        <v>163</v>
      </c>
      <c r="K19" s="204" t="s">
        <v>163</v>
      </c>
      <c r="L19" s="205"/>
      <c r="M19" s="204">
        <v>0</v>
      </c>
      <c r="N19" s="207"/>
      <c r="O19" s="205" t="s">
        <v>163</v>
      </c>
      <c r="P19" s="205"/>
      <c r="Q19" s="205"/>
      <c r="R19" s="205"/>
      <c r="S19" s="202"/>
    </row>
    <row r="20" spans="2:19" s="194" customFormat="1" ht="34.5" customHeight="1">
      <c r="B20" s="200">
        <v>2013</v>
      </c>
      <c r="C20" s="200">
        <v>20</v>
      </c>
      <c r="D20" s="201" t="s">
        <v>182</v>
      </c>
      <c r="E20" s="202" t="s">
        <v>177</v>
      </c>
      <c r="F20" s="210"/>
      <c r="G20" s="209">
        <v>1060000</v>
      </c>
      <c r="H20" s="211" t="s">
        <v>178</v>
      </c>
      <c r="I20" s="212" t="s">
        <v>183</v>
      </c>
      <c r="J20" s="208" t="s">
        <v>163</v>
      </c>
      <c r="K20" s="209" t="s">
        <v>163</v>
      </c>
      <c r="L20" s="211"/>
      <c r="M20" s="209">
        <v>0</v>
      </c>
      <c r="N20" s="208"/>
      <c r="O20" s="211" t="s">
        <v>163</v>
      </c>
      <c r="P20" s="211"/>
      <c r="Q20" s="211"/>
      <c r="R20" s="211"/>
      <c r="S20" s="201"/>
    </row>
    <row r="21" spans="2:19" s="194" customFormat="1" ht="34.5" customHeight="1">
      <c r="B21" s="200">
        <v>2013</v>
      </c>
      <c r="C21" s="200">
        <v>22</v>
      </c>
      <c r="D21" s="201" t="s">
        <v>184</v>
      </c>
      <c r="E21" s="202" t="s">
        <v>177</v>
      </c>
      <c r="F21" s="210">
        <v>3108</v>
      </c>
      <c r="G21" s="209">
        <v>238000</v>
      </c>
      <c r="H21" s="211" t="s">
        <v>178</v>
      </c>
      <c r="I21" s="212" t="s">
        <v>185</v>
      </c>
      <c r="J21" s="208" t="s">
        <v>163</v>
      </c>
      <c r="K21" s="209" t="s">
        <v>163</v>
      </c>
      <c r="L21" s="211"/>
      <c r="M21" s="209">
        <v>181602</v>
      </c>
      <c r="N21" s="208"/>
      <c r="O21" s="211" t="s">
        <v>163</v>
      </c>
      <c r="P21" s="211"/>
      <c r="Q21" s="211"/>
      <c r="R21" s="211"/>
      <c r="S21" s="201"/>
    </row>
    <row r="22" spans="2:19" s="185" customFormat="1" ht="34.5" customHeight="1">
      <c r="B22" s="213">
        <v>2014</v>
      </c>
      <c r="C22" s="213">
        <v>20</v>
      </c>
      <c r="D22" s="214" t="s">
        <v>186</v>
      </c>
      <c r="E22" s="215" t="s">
        <v>177</v>
      </c>
      <c r="F22" s="216">
        <v>3130</v>
      </c>
      <c r="G22" s="217">
        <v>1551000</v>
      </c>
      <c r="H22" s="218" t="s">
        <v>187</v>
      </c>
      <c r="I22" s="219" t="s">
        <v>188</v>
      </c>
      <c r="J22" s="220" t="s">
        <v>163</v>
      </c>
      <c r="K22" s="217" t="s">
        <v>163</v>
      </c>
      <c r="L22" s="218"/>
      <c r="M22" s="217">
        <v>300</v>
      </c>
      <c r="N22" s="220"/>
      <c r="O22" s="218" t="s">
        <v>163</v>
      </c>
      <c r="P22" s="218"/>
      <c r="Q22" s="218"/>
      <c r="R22" s="218"/>
      <c r="S22" s="215"/>
    </row>
    <row r="23" spans="2:19" s="185" customFormat="1" ht="34.5" customHeight="1">
      <c r="B23" s="213">
        <v>2014</v>
      </c>
      <c r="C23" s="213">
        <v>21</v>
      </c>
      <c r="D23" s="214" t="s">
        <v>189</v>
      </c>
      <c r="E23" s="215" t="s">
        <v>177</v>
      </c>
      <c r="F23" s="216"/>
      <c r="G23" s="217">
        <v>4799000</v>
      </c>
      <c r="H23" s="218" t="s">
        <v>187</v>
      </c>
      <c r="I23" s="219" t="s">
        <v>188</v>
      </c>
      <c r="J23" s="220" t="s">
        <v>163</v>
      </c>
      <c r="K23" s="217" t="s">
        <v>163</v>
      </c>
      <c r="L23" s="218"/>
      <c r="M23" s="217"/>
      <c r="N23" s="220"/>
      <c r="O23" s="218" t="s">
        <v>163</v>
      </c>
      <c r="P23" s="218"/>
      <c r="Q23" s="218"/>
      <c r="R23" s="218"/>
      <c r="S23" s="215"/>
    </row>
    <row r="24" spans="2:19" s="185" customFormat="1" ht="34.5" customHeight="1">
      <c r="B24" s="221">
        <v>2014</v>
      </c>
      <c r="C24" s="221">
        <v>19</v>
      </c>
      <c r="D24" s="222" t="s">
        <v>190</v>
      </c>
      <c r="E24" s="223" t="s">
        <v>177</v>
      </c>
      <c r="F24" s="224"/>
      <c r="G24" s="225">
        <v>2150000</v>
      </c>
      <c r="H24" s="226" t="s">
        <v>191</v>
      </c>
      <c r="I24" s="227" t="s">
        <v>192</v>
      </c>
      <c r="J24" s="228"/>
      <c r="K24" s="225"/>
      <c r="L24" s="226"/>
      <c r="M24" s="225"/>
      <c r="N24" s="228"/>
      <c r="O24" s="226" t="s">
        <v>163</v>
      </c>
      <c r="P24" s="226"/>
      <c r="Q24" s="226"/>
      <c r="R24" s="226"/>
      <c r="S24" s="223"/>
    </row>
    <row r="25" spans="2:19" s="185" customFormat="1" ht="34.5" customHeight="1">
      <c r="B25" s="221">
        <v>2014</v>
      </c>
      <c r="C25" s="221">
        <v>22</v>
      </c>
      <c r="D25" s="222" t="s">
        <v>193</v>
      </c>
      <c r="E25" s="223" t="s">
        <v>177</v>
      </c>
      <c r="F25" s="224"/>
      <c r="G25" s="225">
        <v>150000</v>
      </c>
      <c r="H25" s="226" t="s">
        <v>178</v>
      </c>
      <c r="I25" s="227" t="s">
        <v>194</v>
      </c>
      <c r="J25" s="228"/>
      <c r="K25" s="225"/>
      <c r="L25" s="226"/>
      <c r="M25" s="225"/>
      <c r="N25" s="228"/>
      <c r="O25" s="226" t="s">
        <v>163</v>
      </c>
      <c r="P25" s="226"/>
      <c r="Q25" s="226"/>
      <c r="R25" s="226"/>
      <c r="S25" s="223"/>
    </row>
    <row r="26" spans="2:19" s="185" customFormat="1" ht="34.5" customHeight="1">
      <c r="B26" s="221">
        <v>2014</v>
      </c>
      <c r="C26" s="221">
        <v>23</v>
      </c>
      <c r="D26" s="222" t="s">
        <v>195</v>
      </c>
      <c r="E26" s="223" t="s">
        <v>177</v>
      </c>
      <c r="F26" s="224"/>
      <c r="G26" s="225">
        <v>1075000</v>
      </c>
      <c r="H26" s="226" t="s">
        <v>191</v>
      </c>
      <c r="I26" s="227" t="s">
        <v>192</v>
      </c>
      <c r="J26" s="228"/>
      <c r="K26" s="225"/>
      <c r="L26" s="226"/>
      <c r="M26" s="225"/>
      <c r="N26" s="228"/>
      <c r="O26" s="226" t="s">
        <v>163</v>
      </c>
      <c r="P26" s="226"/>
      <c r="Q26" s="226"/>
      <c r="R26" s="226"/>
      <c r="S26" s="223"/>
    </row>
    <row r="27" spans="2:19" s="185" customFormat="1" ht="34.5" customHeight="1">
      <c r="B27" s="221">
        <v>2014</v>
      </c>
      <c r="C27" s="221">
        <v>33</v>
      </c>
      <c r="D27" s="222" t="s">
        <v>196</v>
      </c>
      <c r="E27" s="223" t="s">
        <v>197</v>
      </c>
      <c r="F27" s="224"/>
      <c r="G27" s="225">
        <v>314000</v>
      </c>
      <c r="H27" s="226" t="s">
        <v>191</v>
      </c>
      <c r="I27" s="227" t="s">
        <v>198</v>
      </c>
      <c r="J27" s="228"/>
      <c r="K27" s="225"/>
      <c r="L27" s="226"/>
      <c r="M27" s="225"/>
      <c r="N27" s="228"/>
      <c r="O27" s="226" t="s">
        <v>163</v>
      </c>
      <c r="P27" s="226"/>
      <c r="Q27" s="226"/>
      <c r="R27" s="226"/>
      <c r="S27" s="223"/>
    </row>
    <row r="28" spans="2:19" s="185" customFormat="1" ht="34.5" customHeight="1">
      <c r="B28" s="221">
        <v>2013</v>
      </c>
      <c r="C28" s="221">
        <v>14</v>
      </c>
      <c r="D28" s="222" t="s">
        <v>199</v>
      </c>
      <c r="E28" s="223" t="s">
        <v>200</v>
      </c>
      <c r="F28" s="224"/>
      <c r="G28" s="225">
        <v>129000</v>
      </c>
      <c r="H28" s="226">
        <v>0.14050000000000001</v>
      </c>
      <c r="I28" s="227" t="s">
        <v>201</v>
      </c>
      <c r="J28" s="228"/>
      <c r="K28" s="225"/>
      <c r="L28" s="226"/>
      <c r="M28" s="225"/>
      <c r="N28" s="228"/>
      <c r="O28" s="226" t="s">
        <v>163</v>
      </c>
      <c r="P28" s="226"/>
      <c r="Q28" s="226"/>
      <c r="R28" s="226"/>
      <c r="S28" s="223"/>
    </row>
    <row r="29" spans="2:19" s="185" customFormat="1" ht="34.5" customHeight="1">
      <c r="B29" s="221">
        <v>2013</v>
      </c>
      <c r="C29" s="221">
        <v>16</v>
      </c>
      <c r="D29" s="222" t="s">
        <v>202</v>
      </c>
      <c r="E29" s="223" t="s">
        <v>177</v>
      </c>
      <c r="F29" s="224">
        <v>3131</v>
      </c>
      <c r="G29" s="225">
        <v>2868000</v>
      </c>
      <c r="H29" s="226" t="s">
        <v>178</v>
      </c>
      <c r="I29" s="229" t="s">
        <v>194</v>
      </c>
      <c r="J29" s="228"/>
      <c r="K29" s="225"/>
      <c r="L29" s="226"/>
      <c r="M29" s="225">
        <v>400</v>
      </c>
      <c r="N29" s="228"/>
      <c r="O29" s="226" t="s">
        <v>163</v>
      </c>
      <c r="P29" s="226"/>
      <c r="Q29" s="226"/>
      <c r="R29" s="226"/>
      <c r="S29" s="223" t="s">
        <v>203</v>
      </c>
    </row>
    <row r="30" spans="2:19" s="194" customFormat="1" ht="34.5" customHeight="1">
      <c r="B30" s="221">
        <v>2013</v>
      </c>
      <c r="C30" s="221">
        <v>19</v>
      </c>
      <c r="D30" s="222" t="s">
        <v>204</v>
      </c>
      <c r="E30" s="223" t="s">
        <v>177</v>
      </c>
      <c r="F30" s="230"/>
      <c r="G30" s="231">
        <v>2028000</v>
      </c>
      <c r="H30" s="232" t="s">
        <v>178</v>
      </c>
      <c r="I30" s="229" t="s">
        <v>205</v>
      </c>
      <c r="J30" s="233"/>
      <c r="K30" s="231"/>
      <c r="L30" s="232"/>
      <c r="M30" s="231"/>
      <c r="N30" s="233"/>
      <c r="O30" s="232" t="s">
        <v>163</v>
      </c>
      <c r="P30" s="232"/>
      <c r="Q30" s="232"/>
      <c r="R30" s="232"/>
      <c r="S30" s="222"/>
    </row>
    <row r="31" spans="2:19" s="194" customFormat="1" ht="34.5" customHeight="1">
      <c r="B31" s="221">
        <v>2013</v>
      </c>
      <c r="C31" s="221">
        <v>21</v>
      </c>
      <c r="D31" s="222" t="s">
        <v>206</v>
      </c>
      <c r="E31" s="223" t="s">
        <v>177</v>
      </c>
      <c r="F31" s="230"/>
      <c r="G31" s="231">
        <v>680000</v>
      </c>
      <c r="H31" s="232" t="s">
        <v>178</v>
      </c>
      <c r="I31" s="229" t="s">
        <v>194</v>
      </c>
      <c r="J31" s="233"/>
      <c r="K31" s="231"/>
      <c r="L31" s="232"/>
      <c r="M31" s="231"/>
      <c r="N31" s="233"/>
      <c r="O31" s="232" t="s">
        <v>163</v>
      </c>
      <c r="P31" s="232"/>
      <c r="Q31" s="232"/>
      <c r="R31" s="232"/>
      <c r="S31" s="222"/>
    </row>
    <row r="32" spans="2:19" s="194" customFormat="1" ht="34.5" customHeight="1">
      <c r="B32" s="221">
        <v>2013</v>
      </c>
      <c r="C32" s="221">
        <v>23</v>
      </c>
      <c r="D32" s="222" t="s">
        <v>207</v>
      </c>
      <c r="E32" s="223" t="s">
        <v>177</v>
      </c>
      <c r="F32" s="230"/>
      <c r="G32" s="231">
        <v>212000</v>
      </c>
      <c r="H32" s="232" t="s">
        <v>178</v>
      </c>
      <c r="I32" s="227" t="s">
        <v>192</v>
      </c>
      <c r="J32" s="233"/>
      <c r="K32" s="231"/>
      <c r="L32" s="232"/>
      <c r="M32" s="231"/>
      <c r="N32" s="233"/>
      <c r="O32" s="232" t="s">
        <v>163</v>
      </c>
      <c r="P32" s="232"/>
      <c r="Q32" s="232"/>
      <c r="R32" s="232"/>
      <c r="S32" s="222"/>
    </row>
    <row r="33" spans="2:19" s="194" customFormat="1" ht="34.5" customHeight="1">
      <c r="B33" s="234">
        <v>2013</v>
      </c>
      <c r="C33" s="234">
        <v>34</v>
      </c>
      <c r="D33" s="235" t="s">
        <v>208</v>
      </c>
      <c r="E33" s="236" t="s">
        <v>166</v>
      </c>
      <c r="F33" s="237">
        <v>3083</v>
      </c>
      <c r="G33" s="238">
        <v>959220</v>
      </c>
      <c r="H33" s="239">
        <v>0.183</v>
      </c>
      <c r="I33" s="240" t="s">
        <v>167</v>
      </c>
      <c r="J33" s="241">
        <v>40926</v>
      </c>
      <c r="K33" s="238">
        <v>733053</v>
      </c>
      <c r="L33" s="242"/>
      <c r="M33" s="238" t="s">
        <v>163</v>
      </c>
      <c r="N33" s="241" t="s">
        <v>163</v>
      </c>
      <c r="O33" s="239">
        <v>0.23710000000000001</v>
      </c>
      <c r="P33" s="239"/>
      <c r="Q33" s="239"/>
      <c r="R33" s="239"/>
      <c r="S33" s="235"/>
    </row>
    <row r="34" spans="2:19" s="194" customFormat="1" ht="34.5" customHeight="1">
      <c r="B34" s="234">
        <v>2012</v>
      </c>
      <c r="C34" s="234" t="s">
        <v>209</v>
      </c>
      <c r="D34" s="235" t="s">
        <v>210</v>
      </c>
      <c r="E34" s="236" t="s">
        <v>166</v>
      </c>
      <c r="F34" s="243">
        <v>3066</v>
      </c>
      <c r="G34" s="244">
        <v>346000</v>
      </c>
      <c r="H34" s="245">
        <v>0.2233</v>
      </c>
      <c r="I34" s="246" t="s">
        <v>167</v>
      </c>
      <c r="J34" s="247">
        <v>40828</v>
      </c>
      <c r="K34" s="244">
        <v>522976</v>
      </c>
      <c r="L34" s="242"/>
      <c r="M34" s="244" t="s">
        <v>163</v>
      </c>
      <c r="N34" s="247" t="s">
        <v>163</v>
      </c>
      <c r="O34" s="245">
        <v>0.39190000000000003</v>
      </c>
      <c r="P34" s="245"/>
      <c r="Q34" s="245"/>
      <c r="R34" s="245"/>
      <c r="S34" s="235"/>
    </row>
    <row r="35" spans="2:19" ht="34.5" customHeight="1">
      <c r="B35" s="234">
        <v>2011</v>
      </c>
      <c r="C35" s="234"/>
      <c r="D35" s="235" t="s">
        <v>211</v>
      </c>
      <c r="E35" s="236"/>
      <c r="F35" s="237">
        <v>3068</v>
      </c>
      <c r="G35" s="238">
        <v>992000</v>
      </c>
      <c r="H35" s="239">
        <v>0.1797</v>
      </c>
      <c r="I35" s="240" t="s">
        <v>167</v>
      </c>
      <c r="J35" s="241">
        <v>40792</v>
      </c>
      <c r="K35" s="238">
        <v>577353</v>
      </c>
      <c r="L35" s="242"/>
      <c r="M35" s="238" t="s">
        <v>163</v>
      </c>
      <c r="N35" s="241" t="s">
        <v>163</v>
      </c>
      <c r="O35" s="239">
        <v>0.14349999999999999</v>
      </c>
      <c r="P35" s="239"/>
      <c r="Q35" s="239"/>
      <c r="R35" s="239"/>
      <c r="S35" s="235"/>
    </row>
    <row r="36" spans="2:19" s="175" customFormat="1" ht="34.5" customHeight="1">
      <c r="B36" s="248">
        <v>2014</v>
      </c>
      <c r="C36" s="248">
        <v>9</v>
      </c>
      <c r="D36" s="249" t="s">
        <v>212</v>
      </c>
      <c r="E36" s="250" t="s">
        <v>213</v>
      </c>
      <c r="F36" s="251"/>
      <c r="G36" s="252">
        <v>328000</v>
      </c>
      <c r="H36" s="253">
        <v>0.41339999999999999</v>
      </c>
      <c r="I36" s="254" t="s">
        <v>214</v>
      </c>
      <c r="J36" s="255"/>
      <c r="K36" s="252"/>
      <c r="L36" s="253"/>
      <c r="M36" s="252"/>
      <c r="N36" s="255"/>
      <c r="O36" s="253"/>
      <c r="P36" s="253"/>
      <c r="Q36" s="253"/>
      <c r="R36" s="253"/>
      <c r="S36" s="250"/>
    </row>
    <row r="37" spans="2:19" s="194" customFormat="1" ht="34.5" customHeight="1">
      <c r="B37" s="248">
        <v>2013</v>
      </c>
      <c r="C37" s="248">
        <v>24</v>
      </c>
      <c r="D37" s="249" t="s">
        <v>186</v>
      </c>
      <c r="E37" s="250" t="s">
        <v>177</v>
      </c>
      <c r="F37" s="256"/>
      <c r="G37" s="257">
        <v>1514000</v>
      </c>
      <c r="H37" s="258" t="s">
        <v>178</v>
      </c>
      <c r="I37" s="259" t="s">
        <v>215</v>
      </c>
      <c r="J37" s="260"/>
      <c r="K37" s="257"/>
      <c r="L37" s="258"/>
      <c r="M37" s="257"/>
      <c r="N37" s="260"/>
      <c r="O37" s="258"/>
      <c r="P37" s="258"/>
      <c r="Q37" s="258"/>
      <c r="R37" s="258"/>
      <c r="S37" s="249"/>
    </row>
    <row r="38" spans="2:19" s="185" customFormat="1" ht="34.5" customHeight="1">
      <c r="B38" s="248">
        <v>2013</v>
      </c>
      <c r="C38" s="248">
        <v>6</v>
      </c>
      <c r="D38" s="249" t="s">
        <v>159</v>
      </c>
      <c r="E38" s="250" t="s">
        <v>216</v>
      </c>
      <c r="F38" s="261" t="s">
        <v>217</v>
      </c>
      <c r="G38" s="252"/>
      <c r="H38" s="253"/>
      <c r="I38" s="254" t="s">
        <v>214</v>
      </c>
      <c r="J38" s="261"/>
      <c r="K38" s="252"/>
      <c r="L38" s="253"/>
      <c r="M38" s="252"/>
      <c r="N38" s="255"/>
      <c r="O38" s="253"/>
      <c r="P38" s="253"/>
      <c r="Q38" s="253"/>
      <c r="R38" s="253"/>
      <c r="S38" s="250"/>
    </row>
    <row r="39" spans="2:19" s="185" customFormat="1" ht="34.5" customHeight="1">
      <c r="B39" s="248">
        <v>2013</v>
      </c>
      <c r="C39" s="248">
        <v>7</v>
      </c>
      <c r="D39" s="249" t="s">
        <v>218</v>
      </c>
      <c r="E39" s="250" t="s">
        <v>219</v>
      </c>
      <c r="F39" s="251"/>
      <c r="G39" s="252">
        <v>675000</v>
      </c>
      <c r="H39" s="253">
        <v>0.1265</v>
      </c>
      <c r="I39" s="254" t="s">
        <v>220</v>
      </c>
      <c r="J39" s="255"/>
      <c r="K39" s="252"/>
      <c r="L39" s="253"/>
      <c r="M39" s="252"/>
      <c r="N39" s="255"/>
      <c r="O39" s="253"/>
      <c r="P39" s="253"/>
      <c r="Q39" s="253"/>
      <c r="R39" s="253"/>
      <c r="S39" s="250"/>
    </row>
    <row r="40" spans="2:19" s="185" customFormat="1" ht="34.5" customHeight="1">
      <c r="B40" s="248">
        <v>2013</v>
      </c>
      <c r="C40" s="248">
        <v>8</v>
      </c>
      <c r="D40" s="249" t="s">
        <v>221</v>
      </c>
      <c r="E40" s="250" t="s">
        <v>219</v>
      </c>
      <c r="F40" s="262"/>
      <c r="G40" s="263">
        <v>134000</v>
      </c>
      <c r="H40" s="264">
        <v>0.20830000000000001</v>
      </c>
      <c r="I40" s="265" t="s">
        <v>222</v>
      </c>
      <c r="J40" s="266"/>
      <c r="K40" s="263"/>
      <c r="L40" s="264"/>
      <c r="M40" s="263"/>
      <c r="N40" s="266"/>
      <c r="O40" s="264"/>
      <c r="P40" s="264"/>
      <c r="Q40" s="264"/>
      <c r="R40" s="264"/>
      <c r="S40" s="250"/>
    </row>
    <row r="41" spans="2:19" s="194" customFormat="1" ht="34.5" customHeight="1">
      <c r="B41" s="248">
        <v>2012</v>
      </c>
      <c r="C41" s="248">
        <v>15</v>
      </c>
      <c r="D41" s="249" t="s">
        <v>223</v>
      </c>
      <c r="E41" s="250" t="s">
        <v>200</v>
      </c>
      <c r="F41" s="256"/>
      <c r="G41" s="257">
        <v>1286000</v>
      </c>
      <c r="H41" s="258" t="s">
        <v>224</v>
      </c>
      <c r="I41" s="265" t="s">
        <v>225</v>
      </c>
      <c r="J41" s="260"/>
      <c r="K41" s="257"/>
      <c r="L41" s="258"/>
      <c r="M41" s="257"/>
      <c r="N41" s="260"/>
      <c r="O41" s="258" t="s">
        <v>163</v>
      </c>
      <c r="P41" s="258"/>
      <c r="Q41" s="258"/>
      <c r="R41" s="258"/>
      <c r="S41" s="249"/>
    </row>
    <row r="42" spans="2:19" s="275" customFormat="1" ht="26.25" customHeight="1">
      <c r="B42" s="267"/>
      <c r="C42" s="267"/>
      <c r="D42" s="268"/>
      <c r="E42" s="269"/>
      <c r="F42" s="270"/>
      <c r="G42" s="271"/>
      <c r="H42" s="272"/>
      <c r="I42" s="273"/>
      <c r="J42" s="274"/>
      <c r="K42" s="271"/>
      <c r="L42" s="272"/>
      <c r="M42" s="271"/>
      <c r="N42" s="274"/>
      <c r="O42" s="272"/>
      <c r="P42" s="272"/>
      <c r="Q42" s="272"/>
      <c r="R42" s="272"/>
      <c r="S42" s="269"/>
    </row>
    <row r="43" spans="2:19" s="275" customFormat="1" ht="20.25" customHeight="1">
      <c r="B43" s="267"/>
      <c r="C43" s="267"/>
      <c r="D43" s="276" t="s">
        <v>226</v>
      </c>
      <c r="E43" s="277"/>
      <c r="F43" s="278" t="s">
        <v>227</v>
      </c>
      <c r="H43" s="272"/>
      <c r="I43" s="273"/>
      <c r="J43" s="274"/>
      <c r="K43" s="271"/>
      <c r="L43" s="272"/>
      <c r="M43" s="271"/>
      <c r="N43" s="274"/>
      <c r="O43" s="272"/>
      <c r="P43" s="272"/>
      <c r="Q43" s="272"/>
      <c r="R43" s="272"/>
      <c r="S43" s="269"/>
    </row>
    <row r="44" spans="2:19" s="275" customFormat="1" ht="20.25" customHeight="1">
      <c r="B44" s="267"/>
      <c r="C44" s="267"/>
      <c r="D44" s="279"/>
      <c r="E44" s="216"/>
      <c r="F44" s="278" t="s">
        <v>228</v>
      </c>
      <c r="H44" s="272"/>
      <c r="I44" s="273"/>
      <c r="J44" s="274"/>
      <c r="K44" s="271"/>
      <c r="L44" s="272"/>
      <c r="M44" s="271"/>
      <c r="N44" s="274"/>
      <c r="O44" s="272"/>
      <c r="P44" s="272"/>
      <c r="Q44" s="272"/>
      <c r="R44" s="272"/>
      <c r="S44" s="269"/>
    </row>
    <row r="45" spans="2:19" s="275" customFormat="1" ht="20.25" customHeight="1">
      <c r="B45" s="267"/>
      <c r="C45" s="267"/>
      <c r="D45" s="279"/>
      <c r="E45" s="280"/>
      <c r="F45" s="278" t="s">
        <v>229</v>
      </c>
      <c r="H45" s="272"/>
      <c r="I45" s="273"/>
      <c r="J45" s="274"/>
      <c r="K45" s="271"/>
      <c r="L45" s="272"/>
      <c r="M45" s="271"/>
      <c r="N45" s="274"/>
      <c r="O45" s="272"/>
      <c r="P45" s="272"/>
      <c r="Q45" s="272"/>
      <c r="R45" s="272"/>
      <c r="S45" s="269"/>
    </row>
    <row r="46" spans="2:19" s="275" customFormat="1" ht="20.25" customHeight="1">
      <c r="B46" s="267"/>
      <c r="C46" s="267"/>
      <c r="D46" s="267"/>
      <c r="E46" s="236"/>
      <c r="F46" s="278" t="s">
        <v>230</v>
      </c>
      <c r="H46" s="272"/>
      <c r="I46" s="273"/>
      <c r="J46" s="274"/>
      <c r="K46" s="271"/>
      <c r="L46" s="272"/>
      <c r="M46" s="271"/>
      <c r="N46" s="274"/>
      <c r="O46" s="272"/>
      <c r="P46" s="272"/>
      <c r="Q46" s="272"/>
      <c r="R46" s="272"/>
      <c r="S46" s="269"/>
    </row>
    <row r="47" spans="2:19" s="275" customFormat="1" ht="20.25" customHeight="1">
      <c r="B47" s="267"/>
      <c r="C47" s="267"/>
      <c r="D47" s="267"/>
      <c r="E47" s="262"/>
      <c r="F47" s="278" t="s">
        <v>231</v>
      </c>
      <c r="H47" s="272"/>
      <c r="I47" s="273"/>
      <c r="J47" s="274"/>
      <c r="K47" s="271"/>
      <c r="L47" s="272"/>
      <c r="M47" s="271"/>
      <c r="N47" s="274"/>
      <c r="O47" s="272"/>
      <c r="P47" s="272"/>
      <c r="Q47" s="272"/>
      <c r="R47" s="272"/>
    </row>
    <row r="48" spans="2:19" s="275" customFormat="1" ht="26.25" customHeight="1">
      <c r="B48" s="267"/>
      <c r="C48" s="267"/>
      <c r="D48" s="268"/>
      <c r="E48" s="269"/>
      <c r="F48" s="270"/>
      <c r="G48" s="271"/>
      <c r="H48" s="272"/>
      <c r="I48" s="273"/>
      <c r="J48" s="274"/>
      <c r="K48" s="271"/>
      <c r="L48" s="272"/>
      <c r="M48" s="271"/>
      <c r="N48" s="274"/>
      <c r="O48" s="272"/>
      <c r="P48" s="272"/>
      <c r="Q48" s="272"/>
      <c r="R48" s="272"/>
    </row>
    <row r="49" spans="2:19" ht="26.25" customHeight="1">
      <c r="B49" s="281"/>
      <c r="C49" s="281"/>
      <c r="D49" s="282"/>
      <c r="E49" s="182"/>
      <c r="F49" s="283"/>
      <c r="G49" s="284"/>
      <c r="H49" s="285"/>
      <c r="I49" s="286"/>
      <c r="J49" s="287"/>
      <c r="K49" s="284"/>
      <c r="L49" s="285"/>
      <c r="M49" s="284"/>
      <c r="N49" s="287"/>
      <c r="O49" s="285"/>
      <c r="P49" s="285"/>
      <c r="Q49" s="285"/>
      <c r="R49" s="285"/>
      <c r="S49" s="282"/>
    </row>
    <row r="50" spans="2:19" ht="26.25" customHeight="1">
      <c r="B50" s="177"/>
      <c r="C50" s="177"/>
      <c r="D50" s="178"/>
      <c r="E50" s="179"/>
      <c r="F50" s="288"/>
      <c r="G50" s="289"/>
      <c r="H50" s="290"/>
      <c r="I50" s="291"/>
      <c r="J50" s="292"/>
      <c r="K50" s="289"/>
      <c r="L50" s="290"/>
      <c r="M50" s="289"/>
      <c r="N50" s="292"/>
      <c r="O50" s="290"/>
      <c r="P50" s="290"/>
      <c r="Q50" s="290"/>
      <c r="R50" s="290"/>
      <c r="S50" s="178"/>
    </row>
    <row r="51" spans="2:19" ht="26.25" customHeight="1">
      <c r="B51" s="177"/>
      <c r="C51" s="177"/>
      <c r="D51" s="178"/>
      <c r="E51" s="179"/>
      <c r="F51" s="288"/>
      <c r="G51" s="289"/>
      <c r="H51" s="177"/>
      <c r="I51" s="291"/>
      <c r="J51" s="292"/>
      <c r="K51" s="289"/>
      <c r="L51" s="177"/>
      <c r="M51" s="289"/>
      <c r="N51" s="292"/>
      <c r="O51" s="177"/>
      <c r="P51" s="177"/>
      <c r="Q51" s="177"/>
      <c r="R51" s="177"/>
      <c r="S51" s="178"/>
    </row>
    <row r="52" spans="2:19" ht="26.25" customHeight="1">
      <c r="B52" s="177"/>
      <c r="C52" s="177"/>
      <c r="D52" s="178"/>
      <c r="E52" s="179"/>
      <c r="F52" s="288"/>
      <c r="G52" s="289"/>
      <c r="H52" s="177"/>
      <c r="I52" s="291"/>
      <c r="J52" s="292"/>
      <c r="K52" s="289"/>
      <c r="L52" s="177"/>
      <c r="M52" s="289"/>
      <c r="N52" s="292"/>
      <c r="O52" s="177"/>
      <c r="P52" s="177"/>
      <c r="Q52" s="177"/>
      <c r="R52" s="177"/>
      <c r="S52" s="178"/>
    </row>
    <row r="53" spans="2:19" ht="26.25" customHeight="1">
      <c r="B53" s="177"/>
      <c r="C53" s="177"/>
      <c r="D53" s="178"/>
      <c r="E53" s="179"/>
      <c r="F53" s="288"/>
      <c r="G53" s="289"/>
      <c r="H53" s="177"/>
      <c r="I53" s="291"/>
      <c r="J53" s="292"/>
      <c r="K53" s="289"/>
      <c r="L53" s="177"/>
      <c r="M53" s="289"/>
      <c r="N53" s="292"/>
      <c r="O53" s="177"/>
      <c r="P53" s="177"/>
      <c r="Q53" s="177"/>
      <c r="R53" s="177"/>
      <c r="S53" s="178"/>
    </row>
    <row r="54" spans="2:19" ht="26.25" customHeight="1">
      <c r="B54" s="177"/>
      <c r="C54" s="177"/>
      <c r="D54" s="178"/>
      <c r="E54" s="179"/>
      <c r="F54" s="288"/>
      <c r="G54" s="289"/>
      <c r="H54" s="177"/>
      <c r="I54" s="291"/>
      <c r="J54" s="292"/>
      <c r="K54" s="289"/>
      <c r="L54" s="177"/>
      <c r="M54" s="289"/>
      <c r="N54" s="292"/>
      <c r="O54" s="177"/>
      <c r="P54" s="177"/>
      <c r="Q54" s="177"/>
      <c r="R54" s="177"/>
      <c r="S54" s="178"/>
    </row>
    <row r="55" spans="2:19" ht="26.25" customHeight="1">
      <c r="B55" s="177"/>
      <c r="C55" s="177"/>
      <c r="D55" s="178"/>
      <c r="E55" s="179"/>
      <c r="F55" s="288"/>
      <c r="G55" s="289"/>
      <c r="H55" s="177"/>
      <c r="I55" s="291"/>
      <c r="J55" s="292"/>
      <c r="K55" s="289"/>
      <c r="L55" s="177"/>
      <c r="M55" s="289"/>
      <c r="N55" s="292"/>
      <c r="O55" s="177"/>
      <c r="P55" s="177"/>
      <c r="Q55" s="177"/>
      <c r="R55" s="177"/>
      <c r="S55" s="178"/>
    </row>
    <row r="56" spans="2:19" ht="26.25" customHeight="1">
      <c r="B56" s="177"/>
      <c r="C56" s="177"/>
      <c r="D56" s="178"/>
      <c r="E56" s="179"/>
      <c r="F56" s="288"/>
      <c r="G56" s="289"/>
      <c r="H56" s="177"/>
      <c r="I56" s="291"/>
      <c r="J56" s="292"/>
      <c r="K56" s="289"/>
      <c r="L56" s="177"/>
      <c r="M56" s="289"/>
      <c r="N56" s="292"/>
      <c r="O56" s="177"/>
      <c r="P56" s="177"/>
      <c r="Q56" s="177"/>
      <c r="R56" s="177"/>
      <c r="S56" s="178"/>
    </row>
    <row r="57" spans="2:19" ht="26.25" customHeight="1">
      <c r="B57" s="177"/>
      <c r="C57" s="177"/>
      <c r="D57" s="178"/>
      <c r="E57" s="179"/>
      <c r="F57" s="288"/>
      <c r="G57" s="289"/>
      <c r="H57" s="177"/>
      <c r="I57" s="291"/>
      <c r="J57" s="292"/>
      <c r="K57" s="289"/>
      <c r="L57" s="177"/>
      <c r="M57" s="289"/>
      <c r="N57" s="292"/>
      <c r="O57" s="177"/>
      <c r="P57" s="177"/>
      <c r="Q57" s="177"/>
      <c r="R57" s="177"/>
      <c r="S57" s="178"/>
    </row>
    <row r="58" spans="2:19" ht="26.25" customHeight="1">
      <c r="B58" s="177"/>
      <c r="C58" s="177"/>
      <c r="D58" s="178"/>
      <c r="E58" s="179"/>
      <c r="F58" s="288"/>
      <c r="G58" s="289"/>
      <c r="H58" s="177"/>
      <c r="I58" s="291"/>
      <c r="J58" s="292"/>
      <c r="K58" s="289"/>
      <c r="L58" s="177"/>
      <c r="M58" s="289"/>
      <c r="N58" s="292"/>
      <c r="O58" s="177"/>
      <c r="P58" s="177"/>
      <c r="Q58" s="177"/>
      <c r="R58" s="177"/>
      <c r="S58" s="178"/>
    </row>
    <row r="59" spans="2:19" ht="26.25" customHeight="1">
      <c r="B59" s="177"/>
      <c r="C59" s="177"/>
      <c r="D59" s="178"/>
      <c r="E59" s="179"/>
      <c r="F59" s="288"/>
      <c r="G59" s="289"/>
      <c r="H59" s="177"/>
      <c r="I59" s="291"/>
      <c r="J59" s="292"/>
      <c r="K59" s="289"/>
      <c r="L59" s="177"/>
      <c r="M59" s="289"/>
      <c r="N59" s="292"/>
      <c r="O59" s="177"/>
      <c r="P59" s="177"/>
      <c r="Q59" s="177"/>
      <c r="R59" s="177"/>
      <c r="S59" s="178"/>
    </row>
    <row r="60" spans="2:19" ht="26.25" customHeight="1">
      <c r="B60" s="177"/>
      <c r="C60" s="177"/>
      <c r="D60" s="178"/>
      <c r="E60" s="179"/>
      <c r="F60" s="288"/>
      <c r="G60" s="289"/>
      <c r="H60" s="177"/>
      <c r="I60" s="291"/>
      <c r="J60" s="292"/>
      <c r="K60" s="289"/>
      <c r="L60" s="177"/>
      <c r="M60" s="289"/>
      <c r="N60" s="292"/>
      <c r="O60" s="177"/>
      <c r="P60" s="177"/>
      <c r="Q60" s="177"/>
      <c r="R60" s="177"/>
      <c r="S60" s="178"/>
    </row>
    <row r="61" spans="2:19" ht="26.25" customHeight="1">
      <c r="B61" s="177"/>
      <c r="C61" s="177"/>
      <c r="D61" s="178"/>
      <c r="E61" s="179"/>
      <c r="F61" s="288"/>
      <c r="G61" s="289"/>
      <c r="H61" s="177"/>
      <c r="I61" s="291"/>
      <c r="J61" s="292"/>
      <c r="K61" s="289"/>
      <c r="L61" s="177"/>
      <c r="M61" s="289"/>
      <c r="N61" s="292"/>
      <c r="O61" s="177"/>
      <c r="P61" s="177"/>
      <c r="Q61" s="177"/>
      <c r="R61" s="177"/>
      <c r="S61" s="178"/>
    </row>
    <row r="62" spans="2:19" ht="26.25" customHeight="1">
      <c r="B62" s="177"/>
      <c r="C62" s="177"/>
      <c r="D62" s="178"/>
      <c r="E62" s="179"/>
      <c r="F62" s="288"/>
      <c r="G62" s="289"/>
      <c r="H62" s="177"/>
      <c r="I62" s="291"/>
      <c r="J62" s="292"/>
      <c r="K62" s="289"/>
      <c r="L62" s="177"/>
      <c r="M62" s="289"/>
      <c r="N62" s="292"/>
      <c r="O62" s="177"/>
      <c r="P62" s="177"/>
      <c r="Q62" s="177"/>
      <c r="R62" s="177"/>
      <c r="S62" s="178"/>
    </row>
    <row r="63" spans="2:19" ht="26.25" customHeight="1">
      <c r="B63" s="177"/>
      <c r="C63" s="177"/>
      <c r="D63" s="178"/>
      <c r="E63" s="179"/>
      <c r="F63" s="288"/>
      <c r="G63" s="289"/>
      <c r="H63" s="177"/>
      <c r="I63" s="291"/>
      <c r="J63" s="292"/>
      <c r="K63" s="289"/>
      <c r="L63" s="177"/>
      <c r="M63" s="289"/>
      <c r="N63" s="292"/>
      <c r="O63" s="177"/>
      <c r="P63" s="177"/>
      <c r="Q63" s="177"/>
      <c r="R63" s="177"/>
      <c r="S63" s="178"/>
    </row>
    <row r="64" spans="2:19" ht="26.25" customHeight="1">
      <c r="B64" s="177"/>
      <c r="C64" s="177"/>
      <c r="D64" s="178"/>
      <c r="E64" s="179"/>
      <c r="F64" s="288"/>
      <c r="G64" s="289"/>
      <c r="H64" s="177"/>
      <c r="I64" s="291"/>
      <c r="J64" s="292"/>
      <c r="K64" s="289"/>
      <c r="L64" s="177"/>
      <c r="M64" s="289"/>
      <c r="N64" s="292"/>
      <c r="O64" s="177"/>
      <c r="P64" s="177"/>
      <c r="Q64" s="177"/>
      <c r="R64" s="177"/>
      <c r="S64" s="178"/>
    </row>
    <row r="65" spans="2:19" ht="26.25" customHeight="1">
      <c r="B65" s="177"/>
      <c r="C65" s="177"/>
      <c r="D65" s="178"/>
      <c r="E65" s="179"/>
      <c r="F65" s="288"/>
      <c r="G65" s="289"/>
      <c r="H65" s="177"/>
      <c r="I65" s="291"/>
      <c r="J65" s="292"/>
      <c r="K65" s="289"/>
      <c r="L65" s="177"/>
      <c r="M65" s="289"/>
      <c r="N65" s="292"/>
      <c r="O65" s="177"/>
      <c r="P65" s="177"/>
      <c r="Q65" s="177"/>
      <c r="R65" s="177"/>
      <c r="S65" s="178"/>
    </row>
    <row r="66" spans="2:19" ht="26.25" customHeight="1">
      <c r="B66" s="177"/>
      <c r="C66" s="177"/>
      <c r="D66" s="178"/>
      <c r="E66" s="179"/>
      <c r="F66" s="288"/>
      <c r="G66" s="289"/>
      <c r="H66" s="177"/>
      <c r="I66" s="291"/>
      <c r="J66" s="292"/>
      <c r="K66" s="289"/>
      <c r="L66" s="177"/>
      <c r="M66" s="289"/>
      <c r="N66" s="292"/>
      <c r="O66" s="177"/>
      <c r="P66" s="177"/>
      <c r="Q66" s="177"/>
      <c r="R66" s="177"/>
      <c r="S66" s="178"/>
    </row>
    <row r="67" spans="2:19" ht="26.25" customHeight="1">
      <c r="B67" s="177"/>
      <c r="C67" s="177"/>
      <c r="D67" s="178"/>
      <c r="E67" s="179"/>
      <c r="F67" s="288"/>
      <c r="G67" s="289"/>
      <c r="H67" s="177"/>
      <c r="I67" s="291"/>
      <c r="J67" s="292"/>
      <c r="K67" s="289"/>
      <c r="L67" s="177"/>
      <c r="M67" s="289"/>
      <c r="N67" s="292"/>
      <c r="O67" s="177"/>
      <c r="P67" s="177"/>
      <c r="Q67" s="177"/>
      <c r="R67" s="177"/>
      <c r="S67" s="178"/>
    </row>
    <row r="68" spans="2:19" ht="26.25" customHeight="1">
      <c r="B68" s="177"/>
      <c r="C68" s="177"/>
      <c r="D68" s="178"/>
      <c r="E68" s="179"/>
      <c r="F68" s="288"/>
      <c r="G68" s="289"/>
      <c r="H68" s="177"/>
      <c r="I68" s="291"/>
      <c r="J68" s="292"/>
      <c r="K68" s="289"/>
      <c r="L68" s="177"/>
      <c r="M68" s="289"/>
      <c r="N68" s="292"/>
      <c r="O68" s="177"/>
      <c r="P68" s="177"/>
      <c r="Q68" s="177"/>
      <c r="R68" s="177"/>
      <c r="S68" s="178"/>
    </row>
    <row r="69" spans="2:19" ht="26.25" customHeight="1">
      <c r="B69" s="177"/>
      <c r="C69" s="177"/>
      <c r="D69" s="178"/>
      <c r="E69" s="179"/>
      <c r="F69" s="288"/>
      <c r="G69" s="289"/>
      <c r="H69" s="177"/>
      <c r="I69" s="291"/>
      <c r="J69" s="292"/>
      <c r="K69" s="289"/>
      <c r="L69" s="177"/>
      <c r="M69" s="289"/>
      <c r="N69" s="292"/>
      <c r="O69" s="177"/>
      <c r="P69" s="177"/>
      <c r="Q69" s="177"/>
      <c r="R69" s="177"/>
      <c r="S69" s="178"/>
    </row>
    <row r="70" spans="2:19" ht="26.25" customHeight="1">
      <c r="B70" s="177"/>
      <c r="C70" s="177"/>
      <c r="D70" s="178"/>
      <c r="E70" s="179"/>
      <c r="F70" s="288"/>
      <c r="G70" s="289"/>
      <c r="H70" s="177"/>
      <c r="I70" s="291"/>
      <c r="J70" s="292"/>
      <c r="K70" s="289"/>
      <c r="L70" s="177"/>
      <c r="M70" s="289"/>
      <c r="N70" s="292"/>
      <c r="O70" s="177"/>
      <c r="P70" s="177"/>
      <c r="Q70" s="177"/>
      <c r="R70" s="177"/>
      <c r="S70" s="178"/>
    </row>
    <row r="71" spans="2:19" ht="26.25" customHeight="1">
      <c r="B71" s="177"/>
      <c r="C71" s="177"/>
      <c r="D71" s="178"/>
      <c r="E71" s="179"/>
      <c r="F71" s="288"/>
      <c r="G71" s="289"/>
      <c r="H71" s="177"/>
      <c r="I71" s="291"/>
      <c r="J71" s="292"/>
      <c r="K71" s="289"/>
      <c r="L71" s="177"/>
      <c r="M71" s="289"/>
      <c r="N71" s="292"/>
      <c r="O71" s="177"/>
      <c r="P71" s="177"/>
      <c r="Q71" s="177"/>
      <c r="R71" s="177"/>
      <c r="S71" s="178"/>
    </row>
    <row r="72" spans="2:19" ht="26.25" customHeight="1">
      <c r="B72" s="177"/>
      <c r="C72" s="177"/>
      <c r="D72" s="178"/>
      <c r="E72" s="179"/>
      <c r="F72" s="288"/>
      <c r="G72" s="289"/>
      <c r="H72" s="177"/>
      <c r="I72" s="291"/>
      <c r="J72" s="292"/>
      <c r="K72" s="289"/>
      <c r="L72" s="177"/>
      <c r="M72" s="289"/>
      <c r="N72" s="292"/>
      <c r="O72" s="177"/>
      <c r="P72" s="177"/>
      <c r="Q72" s="177"/>
      <c r="R72" s="177"/>
      <c r="S72" s="178"/>
    </row>
    <row r="73" spans="2:19" ht="26.25" customHeight="1">
      <c r="B73" s="177"/>
      <c r="C73" s="177"/>
      <c r="D73" s="178"/>
      <c r="E73" s="179"/>
      <c r="F73" s="288"/>
      <c r="G73" s="289"/>
      <c r="H73" s="177"/>
      <c r="I73" s="291"/>
      <c r="J73" s="292"/>
      <c r="K73" s="289"/>
      <c r="L73" s="177"/>
      <c r="M73" s="289"/>
      <c r="N73" s="292"/>
      <c r="O73" s="177"/>
      <c r="P73" s="177"/>
      <c r="Q73" s="177"/>
      <c r="R73" s="177"/>
      <c r="S73" s="178"/>
    </row>
    <row r="74" spans="2:19" ht="26.25" customHeight="1">
      <c r="B74" s="177"/>
      <c r="C74" s="177"/>
      <c r="D74" s="178"/>
      <c r="E74" s="179"/>
      <c r="F74" s="288"/>
      <c r="G74" s="289"/>
      <c r="H74" s="177"/>
      <c r="I74" s="291"/>
      <c r="J74" s="292"/>
      <c r="K74" s="289"/>
      <c r="L74" s="177"/>
      <c r="M74" s="289"/>
      <c r="N74" s="292"/>
      <c r="O74" s="177"/>
      <c r="P74" s="177"/>
      <c r="Q74" s="177"/>
      <c r="R74" s="177"/>
      <c r="S74" s="178"/>
    </row>
    <row r="75" spans="2:19" ht="26.25" customHeight="1">
      <c r="B75" s="177"/>
      <c r="C75" s="177"/>
      <c r="D75" s="178"/>
      <c r="E75" s="179"/>
      <c r="F75" s="288"/>
      <c r="G75" s="289"/>
      <c r="H75" s="177"/>
      <c r="I75" s="291"/>
      <c r="J75" s="292"/>
      <c r="K75" s="289"/>
      <c r="L75" s="177"/>
      <c r="M75" s="289"/>
      <c r="N75" s="292"/>
      <c r="O75" s="177"/>
      <c r="P75" s="177"/>
      <c r="Q75" s="177"/>
      <c r="R75" s="177"/>
      <c r="S75" s="178"/>
    </row>
    <row r="76" spans="2:19" ht="26.25" customHeight="1">
      <c r="B76" s="177"/>
      <c r="C76" s="177"/>
      <c r="D76" s="178"/>
      <c r="E76" s="179"/>
      <c r="F76" s="288"/>
      <c r="G76" s="289"/>
      <c r="H76" s="177"/>
      <c r="I76" s="291"/>
      <c r="J76" s="292"/>
      <c r="K76" s="289"/>
      <c r="L76" s="177"/>
      <c r="M76" s="289"/>
      <c r="N76" s="292"/>
      <c r="O76" s="177"/>
      <c r="P76" s="177"/>
      <c r="Q76" s="177"/>
      <c r="R76" s="177"/>
      <c r="S76" s="178"/>
    </row>
    <row r="77" spans="2:19" ht="26.25" customHeight="1">
      <c r="B77" s="177"/>
      <c r="C77" s="177"/>
      <c r="D77" s="178"/>
      <c r="E77" s="179"/>
      <c r="F77" s="288"/>
      <c r="G77" s="289"/>
      <c r="H77" s="177"/>
      <c r="I77" s="291"/>
      <c r="J77" s="292"/>
      <c r="K77" s="289"/>
      <c r="L77" s="177"/>
      <c r="M77" s="289"/>
      <c r="N77" s="292"/>
      <c r="O77" s="177"/>
      <c r="P77" s="177"/>
      <c r="Q77" s="177"/>
      <c r="R77" s="177"/>
      <c r="S77" s="178"/>
    </row>
    <row r="78" spans="2:19" ht="26.25" customHeight="1">
      <c r="B78" s="177"/>
      <c r="C78" s="177"/>
      <c r="D78" s="178"/>
      <c r="E78" s="179"/>
      <c r="F78" s="288"/>
      <c r="G78" s="289"/>
      <c r="H78" s="177"/>
      <c r="I78" s="291"/>
      <c r="J78" s="292"/>
      <c r="K78" s="289"/>
      <c r="L78" s="177"/>
      <c r="M78" s="289"/>
      <c r="N78" s="292"/>
      <c r="O78" s="177"/>
      <c r="P78" s="177"/>
      <c r="Q78" s="177"/>
      <c r="R78" s="177"/>
      <c r="S78" s="178"/>
    </row>
    <row r="79" spans="2:19" ht="26.25" customHeight="1">
      <c r="B79" s="177"/>
      <c r="C79" s="177"/>
      <c r="D79" s="178"/>
      <c r="E79" s="179"/>
      <c r="F79" s="288"/>
      <c r="G79" s="289"/>
      <c r="H79" s="177"/>
      <c r="I79" s="291"/>
      <c r="J79" s="292"/>
      <c r="K79" s="289"/>
      <c r="L79" s="177"/>
      <c r="M79" s="289"/>
      <c r="N79" s="292"/>
      <c r="O79" s="177"/>
      <c r="P79" s="177"/>
      <c r="Q79" s="177"/>
      <c r="R79" s="177"/>
      <c r="S79" s="178"/>
    </row>
    <row r="80" spans="2:19" ht="26.25" customHeight="1">
      <c r="B80" s="177"/>
      <c r="C80" s="177"/>
      <c r="D80" s="178"/>
      <c r="E80" s="179"/>
      <c r="F80" s="288"/>
      <c r="G80" s="289"/>
      <c r="H80" s="177"/>
      <c r="I80" s="291"/>
      <c r="J80" s="292"/>
      <c r="K80" s="289"/>
      <c r="L80" s="177"/>
      <c r="M80" s="289"/>
      <c r="N80" s="292"/>
      <c r="O80" s="177"/>
      <c r="P80" s="177"/>
      <c r="Q80" s="177"/>
      <c r="R80" s="177"/>
      <c r="S80" s="178"/>
    </row>
    <row r="81" spans="2:19" ht="26.25" customHeight="1">
      <c r="B81" s="177"/>
      <c r="C81" s="177"/>
      <c r="D81" s="178"/>
      <c r="E81" s="179"/>
      <c r="F81" s="288"/>
      <c r="G81" s="289"/>
      <c r="H81" s="177"/>
      <c r="I81" s="291"/>
      <c r="J81" s="292"/>
      <c r="K81" s="289"/>
      <c r="L81" s="177"/>
      <c r="M81" s="289"/>
      <c r="N81" s="292"/>
      <c r="O81" s="177"/>
      <c r="P81" s="177"/>
      <c r="Q81" s="177"/>
      <c r="R81" s="177"/>
      <c r="S81" s="178"/>
    </row>
    <row r="82" spans="2:19" ht="26.25" customHeight="1">
      <c r="B82" s="177"/>
      <c r="C82" s="177"/>
      <c r="D82" s="178"/>
      <c r="E82" s="179"/>
      <c r="F82" s="288"/>
      <c r="G82" s="289"/>
      <c r="H82" s="177"/>
      <c r="I82" s="291"/>
      <c r="J82" s="292"/>
      <c r="K82" s="289"/>
      <c r="L82" s="177"/>
      <c r="M82" s="289"/>
      <c r="N82" s="292"/>
      <c r="O82" s="177"/>
      <c r="P82" s="177"/>
      <c r="Q82" s="177"/>
      <c r="R82" s="177"/>
      <c r="S82" s="178"/>
    </row>
    <row r="83" spans="2:19" ht="26.25" customHeight="1">
      <c r="B83" s="177"/>
      <c r="C83" s="177"/>
      <c r="D83" s="178"/>
      <c r="E83" s="179"/>
      <c r="F83" s="288"/>
      <c r="G83" s="289"/>
      <c r="H83" s="177"/>
      <c r="I83" s="291"/>
      <c r="J83" s="292"/>
      <c r="K83" s="289"/>
      <c r="L83" s="177"/>
      <c r="M83" s="289"/>
      <c r="N83" s="292"/>
      <c r="O83" s="177"/>
      <c r="P83" s="177"/>
      <c r="Q83" s="177"/>
      <c r="R83" s="177"/>
      <c r="S83" s="178"/>
    </row>
    <row r="84" spans="2:19" ht="26.25" customHeight="1">
      <c r="B84" s="177"/>
      <c r="C84" s="177"/>
      <c r="D84" s="178"/>
      <c r="E84" s="179"/>
      <c r="F84" s="288"/>
      <c r="G84" s="289"/>
      <c r="H84" s="177"/>
      <c r="I84" s="291"/>
      <c r="J84" s="292"/>
      <c r="K84" s="289"/>
      <c r="L84" s="177"/>
      <c r="M84" s="289"/>
      <c r="N84" s="292"/>
      <c r="O84" s="177"/>
      <c r="P84" s="177"/>
      <c r="Q84" s="177"/>
      <c r="R84" s="177"/>
      <c r="S84" s="178"/>
    </row>
    <row r="85" spans="2:19" ht="26.25" customHeight="1">
      <c r="B85" s="177"/>
      <c r="C85" s="177"/>
      <c r="D85" s="178"/>
      <c r="E85" s="179"/>
      <c r="F85" s="288"/>
      <c r="G85" s="289"/>
      <c r="H85" s="177"/>
      <c r="I85" s="291"/>
      <c r="J85" s="292"/>
      <c r="K85" s="289"/>
      <c r="L85" s="177"/>
      <c r="M85" s="289"/>
      <c r="N85" s="292"/>
      <c r="O85" s="177"/>
      <c r="P85" s="177"/>
      <c r="Q85" s="177"/>
      <c r="R85" s="177"/>
      <c r="S85" s="178"/>
    </row>
    <row r="86" spans="2:19" ht="26.25" customHeight="1">
      <c r="B86" s="177"/>
      <c r="C86" s="177"/>
      <c r="D86" s="178"/>
      <c r="E86" s="179"/>
      <c r="F86" s="288"/>
      <c r="G86" s="289"/>
      <c r="H86" s="177"/>
      <c r="I86" s="291"/>
      <c r="J86" s="292"/>
      <c r="K86" s="289"/>
      <c r="L86" s="177"/>
      <c r="M86" s="289"/>
      <c r="N86" s="292"/>
      <c r="O86" s="177"/>
      <c r="P86" s="177"/>
      <c r="Q86" s="177"/>
      <c r="R86" s="177"/>
      <c r="S86" s="178"/>
    </row>
    <row r="87" spans="2:19" ht="26.25" customHeight="1">
      <c r="B87" s="177"/>
      <c r="C87" s="177"/>
      <c r="D87" s="178"/>
      <c r="E87" s="179"/>
      <c r="F87" s="288"/>
      <c r="G87" s="289"/>
      <c r="H87" s="177"/>
      <c r="I87" s="291"/>
      <c r="J87" s="292"/>
      <c r="K87" s="289"/>
      <c r="L87" s="177"/>
      <c r="M87" s="289"/>
      <c r="N87" s="292"/>
      <c r="O87" s="177"/>
      <c r="P87" s="177"/>
      <c r="Q87" s="177"/>
      <c r="R87" s="177"/>
      <c r="S87" s="178"/>
    </row>
    <row r="88" spans="2:19" ht="26.25" customHeight="1">
      <c r="B88" s="177"/>
      <c r="C88" s="177"/>
      <c r="D88" s="178"/>
      <c r="E88" s="179"/>
      <c r="F88" s="288"/>
      <c r="G88" s="289"/>
      <c r="H88" s="177"/>
      <c r="I88" s="291"/>
      <c r="J88" s="292"/>
      <c r="K88" s="289"/>
      <c r="L88" s="177"/>
      <c r="M88" s="289"/>
      <c r="N88" s="292"/>
      <c r="O88" s="177"/>
      <c r="P88" s="177"/>
      <c r="Q88" s="177"/>
      <c r="R88" s="177"/>
      <c r="S88" s="178"/>
    </row>
    <row r="89" spans="2:19" ht="26.25" customHeight="1">
      <c r="B89" s="177"/>
      <c r="C89" s="177"/>
      <c r="D89" s="178"/>
      <c r="E89" s="179"/>
      <c r="F89" s="288"/>
      <c r="G89" s="289"/>
      <c r="H89" s="177"/>
      <c r="I89" s="291"/>
      <c r="J89" s="292"/>
      <c r="K89" s="289"/>
      <c r="L89" s="177"/>
      <c r="M89" s="289"/>
      <c r="N89" s="292"/>
      <c r="O89" s="177"/>
      <c r="P89" s="177"/>
      <c r="Q89" s="177"/>
      <c r="R89" s="177"/>
      <c r="S89" s="178"/>
    </row>
    <row r="90" spans="2:19" ht="26.25" customHeight="1">
      <c r="B90" s="177"/>
      <c r="C90" s="177"/>
      <c r="D90" s="178"/>
      <c r="E90" s="179"/>
      <c r="F90" s="288"/>
      <c r="G90" s="289"/>
      <c r="H90" s="177"/>
      <c r="I90" s="291"/>
      <c r="J90" s="292"/>
      <c r="K90" s="289"/>
      <c r="L90" s="177"/>
      <c r="M90" s="289"/>
      <c r="N90" s="292"/>
      <c r="O90" s="177"/>
      <c r="P90" s="177"/>
      <c r="Q90" s="177"/>
      <c r="R90" s="177"/>
      <c r="S90" s="178"/>
    </row>
    <row r="91" spans="2:19" ht="26.25" customHeight="1">
      <c r="B91" s="177"/>
      <c r="C91" s="177"/>
      <c r="D91" s="178"/>
      <c r="E91" s="179"/>
      <c r="F91" s="288"/>
      <c r="G91" s="289"/>
      <c r="H91" s="177"/>
      <c r="I91" s="291"/>
      <c r="J91" s="292"/>
      <c r="K91" s="289"/>
      <c r="L91" s="177"/>
      <c r="M91" s="289"/>
      <c r="N91" s="292"/>
      <c r="O91" s="177"/>
      <c r="P91" s="177"/>
      <c r="Q91" s="177"/>
      <c r="R91" s="177"/>
      <c r="S91" s="178"/>
    </row>
    <row r="92" spans="2:19" ht="26.25" customHeight="1">
      <c r="B92" s="177"/>
      <c r="C92" s="177"/>
      <c r="D92" s="178"/>
      <c r="E92" s="179"/>
      <c r="F92" s="288"/>
      <c r="G92" s="289"/>
      <c r="H92" s="177"/>
      <c r="I92" s="291"/>
      <c r="J92" s="292"/>
      <c r="K92" s="289"/>
      <c r="L92" s="177"/>
      <c r="M92" s="289"/>
      <c r="N92" s="292"/>
      <c r="O92" s="177"/>
      <c r="P92" s="177"/>
      <c r="Q92" s="177"/>
      <c r="R92" s="177"/>
      <c r="S92" s="178"/>
    </row>
    <row r="93" spans="2:19" ht="26.25" customHeight="1">
      <c r="B93" s="177"/>
      <c r="C93" s="177"/>
      <c r="D93" s="178"/>
      <c r="E93" s="179"/>
      <c r="F93" s="288"/>
      <c r="G93" s="289"/>
      <c r="H93" s="177"/>
      <c r="I93" s="291"/>
      <c r="J93" s="292"/>
      <c r="K93" s="289"/>
      <c r="L93" s="177"/>
      <c r="M93" s="289"/>
      <c r="N93" s="292"/>
      <c r="O93" s="177"/>
      <c r="P93" s="177"/>
      <c r="Q93" s="177"/>
      <c r="R93" s="177"/>
      <c r="S93" s="178"/>
    </row>
    <row r="94" spans="2:19" ht="26.25" customHeight="1">
      <c r="B94" s="177"/>
      <c r="C94" s="177"/>
      <c r="D94" s="178"/>
      <c r="E94" s="179"/>
      <c r="F94" s="288"/>
      <c r="G94" s="289"/>
      <c r="H94" s="177"/>
      <c r="I94" s="291"/>
      <c r="J94" s="292"/>
      <c r="K94" s="289"/>
      <c r="L94" s="177"/>
      <c r="M94" s="289"/>
      <c r="N94" s="292"/>
      <c r="O94" s="177"/>
      <c r="P94" s="177"/>
      <c r="Q94" s="177"/>
      <c r="R94" s="177"/>
      <c r="S94" s="178"/>
    </row>
    <row r="95" spans="2:19" ht="26.25" customHeight="1">
      <c r="B95" s="177"/>
      <c r="C95" s="177"/>
      <c r="D95" s="178"/>
      <c r="E95" s="179"/>
      <c r="F95" s="288"/>
      <c r="G95" s="289"/>
      <c r="H95" s="177"/>
      <c r="I95" s="291"/>
      <c r="J95" s="292"/>
      <c r="K95" s="289"/>
      <c r="L95" s="177"/>
      <c r="M95" s="289"/>
      <c r="N95" s="292"/>
      <c r="O95" s="177"/>
      <c r="P95" s="177"/>
      <c r="Q95" s="177"/>
      <c r="R95" s="177"/>
      <c r="S95" s="178"/>
    </row>
    <row r="96" spans="2:19" ht="26.25" customHeight="1">
      <c r="B96" s="177"/>
      <c r="C96" s="177"/>
      <c r="D96" s="178"/>
      <c r="E96" s="179"/>
      <c r="F96" s="288"/>
      <c r="G96" s="289"/>
      <c r="H96" s="177"/>
      <c r="I96" s="291"/>
      <c r="J96" s="292"/>
      <c r="K96" s="289"/>
      <c r="L96" s="177"/>
      <c r="M96" s="289"/>
      <c r="N96" s="292"/>
      <c r="O96" s="177"/>
      <c r="P96" s="177"/>
      <c r="Q96" s="177"/>
      <c r="R96" s="177"/>
      <c r="S96" s="178"/>
    </row>
    <row r="97" spans="2:19" ht="26.25" customHeight="1">
      <c r="B97" s="177"/>
      <c r="C97" s="177"/>
      <c r="D97" s="178"/>
      <c r="E97" s="179"/>
      <c r="F97" s="288"/>
      <c r="G97" s="289"/>
      <c r="H97" s="177"/>
      <c r="I97" s="291"/>
      <c r="J97" s="292"/>
      <c r="K97" s="289"/>
      <c r="L97" s="177"/>
      <c r="M97" s="289"/>
      <c r="N97" s="292"/>
      <c r="O97" s="177"/>
      <c r="P97" s="177"/>
      <c r="Q97" s="177"/>
      <c r="R97" s="177"/>
      <c r="S97" s="178"/>
    </row>
    <row r="98" spans="2:19" ht="26.25" customHeight="1">
      <c r="B98" s="177"/>
      <c r="C98" s="177"/>
      <c r="D98" s="178"/>
      <c r="E98" s="179"/>
      <c r="F98" s="288"/>
      <c r="G98" s="289"/>
      <c r="H98" s="177"/>
      <c r="I98" s="291"/>
      <c r="J98" s="292"/>
      <c r="K98" s="289"/>
      <c r="L98" s="177"/>
      <c r="M98" s="289"/>
      <c r="N98" s="292"/>
      <c r="O98" s="177"/>
      <c r="P98" s="177"/>
      <c r="Q98" s="177"/>
      <c r="R98" s="177"/>
      <c r="S98" s="178"/>
    </row>
    <row r="99" spans="2:19" ht="26.25" customHeight="1">
      <c r="B99" s="177"/>
      <c r="C99" s="177"/>
      <c r="D99" s="178"/>
      <c r="E99" s="179"/>
      <c r="F99" s="288"/>
      <c r="G99" s="289"/>
      <c r="H99" s="177"/>
      <c r="I99" s="291"/>
      <c r="J99" s="292"/>
      <c r="K99" s="289"/>
      <c r="L99" s="177"/>
      <c r="M99" s="289"/>
      <c r="N99" s="292"/>
      <c r="O99" s="177"/>
      <c r="P99" s="177"/>
      <c r="Q99" s="177"/>
      <c r="R99" s="177"/>
      <c r="S99" s="178"/>
    </row>
    <row r="100" spans="2:19" ht="26.25" customHeight="1">
      <c r="B100" s="177"/>
      <c r="C100" s="177"/>
      <c r="D100" s="178"/>
      <c r="E100" s="179"/>
      <c r="F100" s="288"/>
      <c r="G100" s="289"/>
      <c r="H100" s="177"/>
      <c r="I100" s="291"/>
      <c r="J100" s="292"/>
      <c r="K100" s="289"/>
      <c r="L100" s="177"/>
      <c r="M100" s="289"/>
      <c r="N100" s="292"/>
      <c r="O100" s="177"/>
      <c r="P100" s="177"/>
      <c r="Q100" s="177"/>
      <c r="R100" s="177"/>
      <c r="S100" s="178"/>
    </row>
    <row r="101" spans="2:19" ht="26.25" customHeight="1">
      <c r="B101" s="177"/>
      <c r="C101" s="177"/>
      <c r="D101" s="178"/>
      <c r="E101" s="179"/>
      <c r="F101" s="288"/>
      <c r="G101" s="289"/>
      <c r="H101" s="177"/>
      <c r="I101" s="291"/>
      <c r="J101" s="292"/>
      <c r="K101" s="289"/>
      <c r="L101" s="177"/>
      <c r="M101" s="289"/>
      <c r="N101" s="292"/>
      <c r="O101" s="177"/>
      <c r="P101" s="177"/>
      <c r="Q101" s="177"/>
      <c r="R101" s="177"/>
      <c r="S101" s="178"/>
    </row>
    <row r="102" spans="2:19" ht="26.25" customHeight="1">
      <c r="B102" s="177"/>
      <c r="C102" s="177"/>
      <c r="D102" s="178"/>
      <c r="E102" s="179"/>
      <c r="F102" s="288"/>
      <c r="G102" s="289"/>
      <c r="H102" s="177"/>
      <c r="I102" s="291"/>
      <c r="J102" s="292"/>
      <c r="K102" s="289"/>
      <c r="L102" s="177"/>
      <c r="M102" s="289"/>
      <c r="N102" s="292"/>
      <c r="O102" s="177"/>
      <c r="P102" s="177"/>
      <c r="Q102" s="177"/>
      <c r="R102" s="177"/>
      <c r="S102" s="178"/>
    </row>
    <row r="103" spans="2:19" ht="26.25" customHeight="1">
      <c r="B103" s="177"/>
      <c r="C103" s="177"/>
      <c r="D103" s="178"/>
      <c r="E103" s="179"/>
      <c r="F103" s="288"/>
      <c r="G103" s="289"/>
      <c r="H103" s="177"/>
      <c r="I103" s="291"/>
      <c r="J103" s="292"/>
      <c r="K103" s="289"/>
      <c r="L103" s="177"/>
      <c r="M103" s="289"/>
      <c r="N103" s="292"/>
      <c r="O103" s="177"/>
      <c r="P103" s="177"/>
      <c r="Q103" s="177"/>
      <c r="R103" s="177"/>
      <c r="S103" s="178"/>
    </row>
    <row r="104" spans="2:19" ht="26.25" customHeight="1">
      <c r="B104" s="177"/>
      <c r="C104" s="177"/>
      <c r="D104" s="178"/>
      <c r="E104" s="179"/>
      <c r="F104" s="288"/>
      <c r="G104" s="289"/>
      <c r="H104" s="177"/>
      <c r="I104" s="291"/>
      <c r="J104" s="292"/>
      <c r="K104" s="289"/>
      <c r="L104" s="177"/>
      <c r="M104" s="289"/>
      <c r="N104" s="292"/>
      <c r="O104" s="177"/>
      <c r="P104" s="177"/>
      <c r="Q104" s="177"/>
      <c r="R104" s="177"/>
      <c r="S104" s="178"/>
    </row>
    <row r="105" spans="2:19" ht="26.25" customHeight="1">
      <c r="B105" s="177"/>
      <c r="C105" s="177"/>
      <c r="D105" s="178"/>
      <c r="E105" s="179"/>
      <c r="F105" s="288"/>
      <c r="G105" s="289"/>
      <c r="H105" s="177"/>
      <c r="I105" s="291"/>
      <c r="J105" s="292"/>
      <c r="K105" s="289"/>
      <c r="L105" s="177"/>
      <c r="M105" s="289"/>
      <c r="N105" s="292"/>
      <c r="O105" s="177"/>
      <c r="P105" s="177"/>
      <c r="Q105" s="177"/>
      <c r="R105" s="177"/>
      <c r="S105" s="178"/>
    </row>
    <row r="106" spans="2:19" ht="26.25" customHeight="1">
      <c r="B106" s="177"/>
      <c r="C106" s="177"/>
      <c r="D106" s="178"/>
      <c r="E106" s="179"/>
      <c r="F106" s="288"/>
      <c r="G106" s="289"/>
      <c r="H106" s="177"/>
      <c r="I106" s="291"/>
      <c r="J106" s="292"/>
      <c r="K106" s="289"/>
      <c r="L106" s="177"/>
      <c r="M106" s="289"/>
      <c r="N106" s="292"/>
      <c r="O106" s="177"/>
      <c r="P106" s="177"/>
      <c r="Q106" s="177"/>
      <c r="R106" s="177"/>
      <c r="S106" s="178"/>
    </row>
    <row r="107" spans="2:19" ht="26.25" customHeight="1">
      <c r="B107" s="177"/>
      <c r="C107" s="177"/>
      <c r="D107" s="178"/>
      <c r="E107" s="179"/>
      <c r="F107" s="288"/>
      <c r="G107" s="289"/>
      <c r="H107" s="177"/>
      <c r="I107" s="291"/>
      <c r="J107" s="292"/>
      <c r="K107" s="289"/>
      <c r="L107" s="177"/>
      <c r="M107" s="289"/>
      <c r="N107" s="292"/>
      <c r="O107" s="177"/>
      <c r="P107" s="177"/>
      <c r="Q107" s="177"/>
      <c r="R107" s="177"/>
      <c r="S107" s="178"/>
    </row>
    <row r="108" spans="2:19" ht="26.25" customHeight="1">
      <c r="B108" s="177"/>
      <c r="C108" s="177"/>
      <c r="D108" s="178"/>
      <c r="E108" s="179"/>
      <c r="F108" s="288"/>
      <c r="G108" s="289"/>
      <c r="H108" s="177"/>
      <c r="I108" s="291"/>
      <c r="J108" s="292"/>
      <c r="K108" s="289"/>
      <c r="L108" s="177"/>
      <c r="M108" s="289"/>
      <c r="N108" s="292"/>
      <c r="O108" s="177"/>
      <c r="P108" s="177"/>
      <c r="Q108" s="177"/>
      <c r="R108" s="177"/>
      <c r="S108" s="178"/>
    </row>
    <row r="109" spans="2:19" ht="26.25" customHeight="1">
      <c r="B109" s="177"/>
      <c r="C109" s="177"/>
      <c r="D109" s="178"/>
      <c r="E109" s="179"/>
      <c r="F109" s="288"/>
      <c r="G109" s="289"/>
      <c r="H109" s="177"/>
      <c r="I109" s="291"/>
      <c r="J109" s="292"/>
      <c r="K109" s="289"/>
      <c r="L109" s="177"/>
      <c r="M109" s="289"/>
      <c r="N109" s="292"/>
      <c r="O109" s="177"/>
      <c r="P109" s="177"/>
      <c r="Q109" s="177"/>
      <c r="R109" s="177"/>
      <c r="S109" s="178"/>
    </row>
    <row r="110" spans="2:19" ht="26.25" customHeight="1">
      <c r="B110" s="177"/>
      <c r="C110" s="177"/>
      <c r="D110" s="178"/>
      <c r="E110" s="179"/>
      <c r="F110" s="288"/>
      <c r="G110" s="289"/>
      <c r="H110" s="177"/>
      <c r="I110" s="291"/>
      <c r="J110" s="292"/>
      <c r="K110" s="289"/>
      <c r="L110" s="177"/>
      <c r="M110" s="289"/>
      <c r="N110" s="292"/>
      <c r="O110" s="177"/>
      <c r="P110" s="177"/>
      <c r="Q110" s="177"/>
      <c r="R110" s="177"/>
      <c r="S110" s="178"/>
    </row>
    <row r="111" spans="2:19" ht="26.25" customHeight="1">
      <c r="B111" s="177"/>
      <c r="C111" s="177"/>
      <c r="D111" s="178"/>
      <c r="E111" s="179"/>
      <c r="F111" s="288"/>
      <c r="G111" s="289"/>
      <c r="H111" s="177"/>
      <c r="I111" s="291"/>
      <c r="J111" s="292"/>
      <c r="K111" s="289"/>
      <c r="L111" s="177"/>
      <c r="M111" s="289"/>
      <c r="N111" s="292"/>
      <c r="O111" s="177"/>
      <c r="P111" s="177"/>
      <c r="Q111" s="177"/>
      <c r="R111" s="177"/>
      <c r="S111" s="178"/>
    </row>
    <row r="112" spans="2:19" ht="26.25" customHeight="1">
      <c r="B112" s="177"/>
      <c r="C112" s="177"/>
      <c r="D112" s="178"/>
      <c r="E112" s="179"/>
      <c r="F112" s="288"/>
      <c r="G112" s="289"/>
      <c r="H112" s="177"/>
      <c r="I112" s="291"/>
      <c r="J112" s="292"/>
      <c r="K112" s="289"/>
      <c r="L112" s="177"/>
      <c r="M112" s="289"/>
      <c r="N112" s="292"/>
      <c r="O112" s="177"/>
      <c r="P112" s="177"/>
      <c r="Q112" s="177"/>
      <c r="R112" s="177"/>
      <c r="S112" s="178"/>
    </row>
    <row r="113" spans="2:19" ht="26.25" customHeight="1">
      <c r="B113" s="177"/>
      <c r="C113" s="177"/>
      <c r="D113" s="178"/>
      <c r="E113" s="179"/>
      <c r="F113" s="288"/>
      <c r="G113" s="289"/>
      <c r="H113" s="177"/>
      <c r="I113" s="291"/>
      <c r="J113" s="292"/>
      <c r="K113" s="289"/>
      <c r="L113" s="177"/>
      <c r="M113" s="289"/>
      <c r="N113" s="292"/>
      <c r="O113" s="177"/>
      <c r="P113" s="177"/>
      <c r="Q113" s="177"/>
      <c r="R113" s="177"/>
      <c r="S113" s="178"/>
    </row>
    <row r="114" spans="2:19" ht="26.25" customHeight="1">
      <c r="B114" s="177"/>
      <c r="C114" s="177"/>
      <c r="D114" s="178"/>
      <c r="E114" s="179"/>
      <c r="F114" s="288"/>
      <c r="G114" s="289"/>
      <c r="H114" s="177"/>
      <c r="I114" s="291"/>
      <c r="J114" s="292"/>
      <c r="K114" s="289"/>
      <c r="L114" s="177"/>
      <c r="M114" s="289"/>
      <c r="N114" s="292"/>
      <c r="O114" s="177"/>
      <c r="P114" s="177"/>
      <c r="Q114" s="177"/>
      <c r="R114" s="177"/>
      <c r="S114" s="178"/>
    </row>
    <row r="115" spans="2:19" ht="26.25" customHeight="1">
      <c r="B115" s="177"/>
      <c r="C115" s="177"/>
      <c r="D115" s="178"/>
      <c r="E115" s="179"/>
      <c r="F115" s="288"/>
      <c r="G115" s="289"/>
      <c r="H115" s="177"/>
      <c r="I115" s="291"/>
      <c r="J115" s="292"/>
      <c r="K115" s="289"/>
      <c r="L115" s="177"/>
      <c r="M115" s="289"/>
      <c r="N115" s="292"/>
      <c r="O115" s="177"/>
      <c r="P115" s="177"/>
      <c r="Q115" s="177"/>
      <c r="R115" s="177"/>
      <c r="S115" s="178"/>
    </row>
    <row r="116" spans="2:19" ht="26.25" customHeight="1">
      <c r="B116" s="177"/>
      <c r="C116" s="177"/>
      <c r="D116" s="178"/>
      <c r="E116" s="179"/>
      <c r="F116" s="288"/>
      <c r="G116" s="289"/>
      <c r="H116" s="177"/>
      <c r="I116" s="291"/>
      <c r="J116" s="292"/>
      <c r="K116" s="289"/>
      <c r="L116" s="177"/>
      <c r="M116" s="289"/>
      <c r="N116" s="292"/>
      <c r="O116" s="177"/>
      <c r="P116" s="177"/>
      <c r="Q116" s="177"/>
      <c r="R116" s="177"/>
      <c r="S116" s="178"/>
    </row>
    <row r="117" spans="2:19" ht="26.25" customHeight="1">
      <c r="B117" s="177"/>
      <c r="C117" s="177"/>
      <c r="D117" s="178"/>
      <c r="E117" s="179"/>
      <c r="F117" s="288"/>
      <c r="G117" s="289"/>
      <c r="H117" s="177"/>
      <c r="I117" s="291"/>
      <c r="J117" s="292"/>
      <c r="K117" s="289"/>
      <c r="L117" s="177"/>
      <c r="M117" s="289"/>
      <c r="N117" s="292"/>
      <c r="O117" s="177"/>
      <c r="P117" s="177"/>
      <c r="Q117" s="177"/>
      <c r="R117" s="177"/>
      <c r="S117" s="178"/>
    </row>
    <row r="118" spans="2:19" ht="26.25" customHeight="1">
      <c r="B118" s="177"/>
      <c r="C118" s="177"/>
      <c r="D118" s="178"/>
      <c r="E118" s="179"/>
      <c r="F118" s="288"/>
      <c r="G118" s="289"/>
      <c r="H118" s="177"/>
      <c r="I118" s="291"/>
      <c r="J118" s="292"/>
      <c r="K118" s="289"/>
      <c r="L118" s="177"/>
      <c r="M118" s="289"/>
      <c r="N118" s="292"/>
      <c r="O118" s="177"/>
      <c r="P118" s="177"/>
      <c r="Q118" s="177"/>
      <c r="R118" s="177"/>
      <c r="S118" s="178"/>
    </row>
    <row r="119" spans="2:19" ht="26.25" customHeight="1">
      <c r="B119" s="177"/>
      <c r="C119" s="177"/>
      <c r="D119" s="178"/>
      <c r="E119" s="179"/>
      <c r="F119" s="288"/>
      <c r="G119" s="289"/>
      <c r="H119" s="177"/>
      <c r="I119" s="291"/>
      <c r="J119" s="292"/>
      <c r="K119" s="289"/>
      <c r="L119" s="177"/>
      <c r="M119" s="289"/>
      <c r="N119" s="292"/>
      <c r="O119" s="177"/>
      <c r="P119" s="177"/>
      <c r="Q119" s="177"/>
      <c r="R119" s="177"/>
      <c r="S119" s="178"/>
    </row>
    <row r="120" spans="2:19" ht="26.25" customHeight="1">
      <c r="B120" s="177"/>
      <c r="C120" s="177"/>
      <c r="D120" s="178"/>
      <c r="E120" s="179"/>
      <c r="F120" s="288"/>
      <c r="G120" s="289"/>
      <c r="H120" s="177"/>
      <c r="I120" s="291"/>
      <c r="J120" s="292"/>
      <c r="K120" s="289"/>
      <c r="L120" s="177"/>
      <c r="M120" s="289"/>
      <c r="N120" s="292"/>
      <c r="O120" s="177"/>
      <c r="P120" s="177"/>
      <c r="Q120" s="177"/>
      <c r="R120" s="177"/>
      <c r="S120" s="178"/>
    </row>
    <row r="121" spans="2:19" ht="26.25" customHeight="1">
      <c r="B121" s="177"/>
      <c r="C121" s="177"/>
      <c r="D121" s="178"/>
      <c r="E121" s="179"/>
      <c r="F121" s="288"/>
      <c r="G121" s="289"/>
      <c r="H121" s="177"/>
      <c r="I121" s="291"/>
      <c r="J121" s="292"/>
      <c r="K121" s="289"/>
      <c r="L121" s="177"/>
      <c r="M121" s="289"/>
      <c r="N121" s="292"/>
      <c r="O121" s="177"/>
      <c r="P121" s="177"/>
      <c r="Q121" s="177"/>
      <c r="R121" s="177"/>
      <c r="S121" s="178"/>
    </row>
    <row r="122" spans="2:19" ht="26.25" customHeight="1">
      <c r="B122" s="177"/>
      <c r="C122" s="177"/>
      <c r="D122" s="178"/>
      <c r="E122" s="179"/>
      <c r="F122" s="288"/>
      <c r="G122" s="289"/>
      <c r="H122" s="177"/>
      <c r="I122" s="291"/>
      <c r="J122" s="292"/>
      <c r="K122" s="289"/>
      <c r="L122" s="177"/>
      <c r="M122" s="289"/>
      <c r="N122" s="292"/>
      <c r="O122" s="177"/>
      <c r="P122" s="177"/>
      <c r="Q122" s="177"/>
      <c r="R122" s="177"/>
      <c r="S122" s="178"/>
    </row>
    <row r="123" spans="2:19" ht="26.25" customHeight="1">
      <c r="B123" s="177"/>
      <c r="C123" s="177"/>
      <c r="D123" s="178"/>
      <c r="E123" s="179"/>
      <c r="F123" s="288"/>
      <c r="G123" s="289"/>
      <c r="H123" s="177"/>
      <c r="I123" s="291"/>
      <c r="J123" s="292"/>
      <c r="K123" s="289"/>
      <c r="L123" s="177"/>
      <c r="M123" s="289"/>
      <c r="N123" s="292"/>
      <c r="O123" s="177"/>
      <c r="P123" s="177"/>
      <c r="Q123" s="177"/>
      <c r="R123" s="177"/>
      <c r="S123" s="178"/>
    </row>
  </sheetData>
  <autoFilter ref="A12:R50"/>
  <mergeCells count="15">
    <mergeCell ref="G8:G11"/>
    <mergeCell ref="B8:B11"/>
    <mergeCell ref="C8:C11"/>
    <mergeCell ref="D8:D11"/>
    <mergeCell ref="E8:E11"/>
    <mergeCell ref="F8:F11"/>
    <mergeCell ref="N8:N11"/>
    <mergeCell ref="O8:R10"/>
    <mergeCell ref="S8:S11"/>
    <mergeCell ref="H8:H11"/>
    <mergeCell ref="I8:I11"/>
    <mergeCell ref="J8:J11"/>
    <mergeCell ref="K8:K11"/>
    <mergeCell ref="L8:L11"/>
    <mergeCell ref="M8:M11"/>
  </mergeCells>
  <pageMargins left="0.2" right="0.2" top="0.5" bottom="0.2" header="0.3" footer="0.3"/>
  <pageSetup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O144"/>
  <sheetViews>
    <sheetView zoomScale="75" zoomScaleNormal="75" zoomScaleSheetLayoutView="90" workbookViewId="0"/>
  </sheetViews>
  <sheetFormatPr defaultRowHeight="12.75"/>
  <cols>
    <col min="1" max="1" width="2.85546875" style="295" bestFit="1" customWidth="1"/>
    <col min="2" max="2" width="14.7109375" style="295" customWidth="1"/>
    <col min="3" max="3" width="82.140625" style="295" customWidth="1"/>
    <col min="4" max="4" width="35.28515625" style="296" customWidth="1"/>
    <col min="5" max="5" width="12.5703125" style="295" customWidth="1"/>
    <col min="6" max="6" width="12.140625" style="295" customWidth="1"/>
    <col min="7" max="7" width="13.42578125" style="295" customWidth="1"/>
    <col min="8" max="8" width="13.140625" style="295" customWidth="1"/>
    <col min="9" max="9" width="16.28515625" style="295" hidden="1" customWidth="1"/>
    <col min="10" max="10" width="3.5703125" style="295" customWidth="1"/>
    <col min="11" max="11" width="19.140625" style="295" bestFit="1" customWidth="1"/>
    <col min="12" max="12" width="18.5703125" style="295" customWidth="1"/>
    <col min="13" max="13" width="13.140625" style="295" bestFit="1" customWidth="1"/>
    <col min="14" max="14" width="4.5703125" style="296" hidden="1" customWidth="1"/>
    <col min="15" max="15" width="11.42578125" style="295" hidden="1" customWidth="1"/>
    <col min="16" max="16" width="1.140625" style="295" customWidth="1"/>
    <col min="17" max="17" width="13.140625" style="299" customWidth="1"/>
    <col min="18" max="18" width="46.42578125" style="295" customWidth="1"/>
    <col min="19" max="19" width="9.140625" style="454"/>
    <col min="20" max="20" width="11.5703125" style="293" bestFit="1" customWidth="1"/>
    <col min="21" max="21" width="7.28515625" style="293" customWidth="1"/>
    <col min="22" max="22" width="12.85546875" style="295" customWidth="1"/>
    <col min="23" max="23" width="17.5703125" style="295" customWidth="1"/>
    <col min="24" max="26" width="12.85546875" style="295" customWidth="1"/>
    <col min="27" max="27" width="9.28515625" style="293" bestFit="1" customWidth="1"/>
    <col min="28" max="28" width="16.28515625" style="296" customWidth="1"/>
    <col min="29" max="30" width="17.85546875" style="296" customWidth="1"/>
    <col min="31" max="31" width="9.28515625" style="293" bestFit="1" customWidth="1"/>
    <col min="32" max="32" width="9.140625" style="293"/>
    <col min="33" max="33" width="9.28515625" style="293" bestFit="1" customWidth="1"/>
    <col min="34" max="34" width="9.140625" style="293"/>
    <col min="35" max="35" width="9.28515625" style="293" bestFit="1" customWidth="1"/>
    <col min="36" max="38" width="9.140625" style="293"/>
    <col min="39" max="39" width="18.28515625" style="293" customWidth="1"/>
    <col min="40" max="40" width="13.7109375" style="293" customWidth="1"/>
    <col min="41" max="41" width="16.28515625" style="293" customWidth="1"/>
    <col min="42" max="16384" width="9.140625" style="293"/>
  </cols>
  <sheetData>
    <row r="1" spans="1:41">
      <c r="A1" s="293"/>
      <c r="B1" s="294" t="s">
        <v>232</v>
      </c>
      <c r="O1" s="514">
        <v>41844</v>
      </c>
      <c r="P1" s="514"/>
      <c r="Q1" s="514"/>
      <c r="R1" s="514"/>
      <c r="S1" s="295"/>
      <c r="T1" s="295"/>
      <c r="U1" s="295"/>
    </row>
    <row r="2" spans="1:41">
      <c r="A2" s="293"/>
      <c r="B2" s="294" t="s">
        <v>233</v>
      </c>
      <c r="O2" s="293"/>
      <c r="P2" s="515" t="s">
        <v>234</v>
      </c>
      <c r="Q2" s="515"/>
      <c r="R2" s="515"/>
      <c r="S2" s="295"/>
      <c r="T2" s="295"/>
      <c r="U2" s="297"/>
      <c r="V2" s="297"/>
      <c r="W2" s="297"/>
      <c r="X2" s="297"/>
      <c r="Y2" s="298"/>
    </row>
    <row r="3" spans="1:41">
      <c r="A3" s="293"/>
      <c r="B3" s="294"/>
      <c r="S3" s="295"/>
      <c r="T3" s="295"/>
      <c r="U3" s="295"/>
    </row>
    <row r="4" spans="1:41">
      <c r="A4" s="293"/>
      <c r="B4" s="516" t="s">
        <v>235</v>
      </c>
      <c r="C4" s="516" t="s">
        <v>146</v>
      </c>
      <c r="D4" s="516" t="s">
        <v>147</v>
      </c>
      <c r="E4" s="519" t="s">
        <v>236</v>
      </c>
      <c r="F4" s="520"/>
      <c r="G4" s="520"/>
      <c r="H4" s="520"/>
      <c r="I4" s="520"/>
      <c r="J4" s="520"/>
      <c r="K4" s="520"/>
      <c r="L4" s="520"/>
      <c r="M4" s="520"/>
      <c r="N4" s="300"/>
      <c r="O4" s="300"/>
      <c r="P4" s="301"/>
      <c r="Q4" s="302"/>
      <c r="R4" s="303"/>
      <c r="S4" s="295"/>
      <c r="T4" s="295"/>
      <c r="U4" s="295"/>
      <c r="AB4" s="505" t="s">
        <v>237</v>
      </c>
      <c r="AC4" s="506"/>
      <c r="AD4" s="304"/>
      <c r="AM4" s="305"/>
      <c r="AN4" s="305"/>
      <c r="AO4" s="306"/>
    </row>
    <row r="5" spans="1:41" ht="16.5" customHeight="1" thickBot="1">
      <c r="A5" s="293"/>
      <c r="B5" s="516"/>
      <c r="C5" s="516"/>
      <c r="D5" s="516"/>
      <c r="E5" s="521" t="s">
        <v>238</v>
      </c>
      <c r="F5" s="521" t="s">
        <v>239</v>
      </c>
      <c r="G5" s="521" t="s">
        <v>240</v>
      </c>
      <c r="H5" s="521" t="s">
        <v>241</v>
      </c>
      <c r="I5" s="521" t="s">
        <v>242</v>
      </c>
      <c r="J5" s="307"/>
      <c r="K5" s="510" t="s">
        <v>243</v>
      </c>
      <c r="L5" s="511"/>
      <c r="M5" s="511"/>
      <c r="N5" s="308"/>
      <c r="O5" s="294"/>
      <c r="P5" s="309"/>
      <c r="Q5" s="512" t="s">
        <v>244</v>
      </c>
      <c r="R5" s="513"/>
      <c r="S5" s="295"/>
      <c r="T5" s="295"/>
      <c r="U5" s="295"/>
      <c r="AB5" s="507"/>
      <c r="AC5" s="508"/>
      <c r="AD5" s="310"/>
      <c r="AM5" s="498" t="s">
        <v>245</v>
      </c>
      <c r="AN5" s="498"/>
      <c r="AO5" s="498"/>
    </row>
    <row r="6" spans="1:41" s="314" customFormat="1" ht="16.5" customHeight="1" thickBot="1">
      <c r="A6" s="293"/>
      <c r="B6" s="517"/>
      <c r="C6" s="517"/>
      <c r="D6" s="518"/>
      <c r="E6" s="521"/>
      <c r="F6" s="521"/>
      <c r="G6" s="521"/>
      <c r="H6" s="521"/>
      <c r="I6" s="521"/>
      <c r="J6" s="307"/>
      <c r="K6" s="499" t="s">
        <v>246</v>
      </c>
      <c r="L6" s="500"/>
      <c r="M6" s="500"/>
      <c r="N6" s="307"/>
      <c r="O6" s="311"/>
      <c r="P6" s="309"/>
      <c r="Q6" s="311"/>
      <c r="R6" s="312"/>
      <c r="S6" s="313"/>
      <c r="T6" s="313"/>
      <c r="U6" s="313"/>
      <c r="V6" s="501" t="s">
        <v>247</v>
      </c>
      <c r="W6" s="502"/>
      <c r="X6" s="502"/>
      <c r="Y6" s="502"/>
      <c r="Z6" s="503"/>
      <c r="AB6" s="499"/>
      <c r="AC6" s="509"/>
      <c r="AD6" s="310"/>
      <c r="AM6" s="504" t="s">
        <v>248</v>
      </c>
      <c r="AN6" s="504"/>
      <c r="AO6" s="504"/>
    </row>
    <row r="7" spans="1:41" s="323" customFormat="1" ht="55.5" customHeight="1">
      <c r="A7" s="293"/>
      <c r="B7" s="517"/>
      <c r="C7" s="517"/>
      <c r="D7" s="518"/>
      <c r="E7" s="522"/>
      <c r="F7" s="522"/>
      <c r="G7" s="522"/>
      <c r="H7" s="522"/>
      <c r="I7" s="522"/>
      <c r="J7" s="315"/>
      <c r="K7" s="316" t="s">
        <v>249</v>
      </c>
      <c r="L7" s="316" t="s">
        <v>250</v>
      </c>
      <c r="M7" s="317" t="s">
        <v>251</v>
      </c>
      <c r="N7" s="318"/>
      <c r="O7" s="319" t="s">
        <v>252</v>
      </c>
      <c r="P7" s="315"/>
      <c r="Q7" s="320" t="s">
        <v>253</v>
      </c>
      <c r="R7" s="321" t="s">
        <v>254</v>
      </c>
      <c r="S7" s="322"/>
      <c r="T7" s="322" t="s">
        <v>255</v>
      </c>
      <c r="U7" s="322" t="s">
        <v>71</v>
      </c>
      <c r="V7" s="318" t="s">
        <v>256</v>
      </c>
      <c r="W7" s="318" t="s">
        <v>257</v>
      </c>
      <c r="X7" s="318" t="s">
        <v>258</v>
      </c>
      <c r="Y7" s="318" t="s">
        <v>259</v>
      </c>
      <c r="Z7" s="318" t="s">
        <v>260</v>
      </c>
      <c r="AB7" s="318" t="s">
        <v>261</v>
      </c>
      <c r="AC7" s="318" t="s">
        <v>262</v>
      </c>
      <c r="AD7" s="318"/>
      <c r="AM7" s="324" t="s">
        <v>263</v>
      </c>
      <c r="AN7" s="325" t="s">
        <v>264</v>
      </c>
      <c r="AO7" s="325" t="s">
        <v>265</v>
      </c>
    </row>
    <row r="8" spans="1:41" ht="45" customHeight="1">
      <c r="A8" s="293"/>
      <c r="B8" s="326"/>
      <c r="C8" s="327" t="s">
        <v>266</v>
      </c>
      <c r="D8" s="328"/>
      <c r="E8" s="329"/>
      <c r="F8" s="329"/>
      <c r="G8" s="329"/>
      <c r="H8" s="329"/>
      <c r="I8" s="330"/>
      <c r="J8" s="331"/>
      <c r="K8" s="332"/>
      <c r="L8" s="332"/>
      <c r="M8" s="332"/>
      <c r="N8" s="333"/>
      <c r="O8" s="334"/>
      <c r="P8" s="331"/>
      <c r="Q8" s="335"/>
      <c r="R8" s="336"/>
      <c r="S8" s="295"/>
      <c r="T8" s="337">
        <v>0</v>
      </c>
      <c r="U8" s="295"/>
      <c r="V8" s="332"/>
      <c r="W8" s="332"/>
      <c r="X8" s="332"/>
      <c r="Y8" s="332"/>
      <c r="Z8" s="332"/>
      <c r="AB8" s="330"/>
      <c r="AC8" s="330"/>
      <c r="AD8" s="330"/>
      <c r="AM8" s="338"/>
      <c r="AN8" s="339"/>
      <c r="AO8" s="339"/>
    </row>
    <row r="9" spans="1:41" s="349" customFormat="1" ht="19.149999999999999" customHeight="1">
      <c r="A9" s="293"/>
      <c r="B9" s="340">
        <v>1</v>
      </c>
      <c r="C9" s="341" t="s">
        <v>267</v>
      </c>
      <c r="D9" s="340" t="s">
        <v>268</v>
      </c>
      <c r="E9" s="342">
        <v>2729</v>
      </c>
      <c r="F9" s="342">
        <v>0</v>
      </c>
      <c r="G9" s="342">
        <v>725</v>
      </c>
      <c r="H9" s="342">
        <v>987</v>
      </c>
      <c r="I9" s="340" t="e">
        <v>#N/A</v>
      </c>
      <c r="J9" s="343" t="s">
        <v>209</v>
      </c>
      <c r="K9" s="344">
        <v>0</v>
      </c>
      <c r="L9" s="344">
        <v>0</v>
      </c>
      <c r="M9" s="344">
        <v>987</v>
      </c>
      <c r="N9" s="342"/>
      <c r="O9" s="345" t="s">
        <v>269</v>
      </c>
      <c r="P9" s="346"/>
      <c r="Q9" s="347" t="s">
        <v>163</v>
      </c>
      <c r="R9" s="348" t="s">
        <v>270</v>
      </c>
      <c r="T9" s="350">
        <v>0</v>
      </c>
      <c r="V9" s="351">
        <v>0</v>
      </c>
      <c r="W9" s="351">
        <v>0</v>
      </c>
      <c r="X9" s="351">
        <v>0</v>
      </c>
      <c r="Y9" s="351">
        <v>0</v>
      </c>
      <c r="Z9" s="351">
        <v>1</v>
      </c>
      <c r="AA9" s="352"/>
      <c r="AB9" s="340" t="s">
        <v>163</v>
      </c>
      <c r="AC9" s="340" t="s">
        <v>163</v>
      </c>
      <c r="AD9" s="340" t="e">
        <v>#N/A</v>
      </c>
      <c r="AG9" s="349" t="e">
        <v>#REF!</v>
      </c>
      <c r="AI9" s="349" t="e">
        <v>#N/A</v>
      </c>
      <c r="AM9" s="353"/>
      <c r="AN9" s="354"/>
      <c r="AO9" s="354"/>
    </row>
    <row r="10" spans="1:41" ht="19.149999999999999" customHeight="1">
      <c r="A10" s="293"/>
      <c r="B10" s="339">
        <v>2</v>
      </c>
      <c r="C10" s="355" t="s">
        <v>271</v>
      </c>
      <c r="D10" s="339" t="s">
        <v>268</v>
      </c>
      <c r="E10" s="356">
        <v>282</v>
      </c>
      <c r="F10" s="356">
        <v>0</v>
      </c>
      <c r="G10" s="356">
        <v>0</v>
      </c>
      <c r="H10" s="356">
        <v>282</v>
      </c>
      <c r="I10" s="339" t="e">
        <v>#N/A</v>
      </c>
      <c r="J10" s="357"/>
      <c r="K10" s="358">
        <v>0</v>
      </c>
      <c r="L10" s="358">
        <v>211.5</v>
      </c>
      <c r="M10" s="358">
        <v>70.5</v>
      </c>
      <c r="N10" s="356"/>
      <c r="O10" s="359" t="s">
        <v>269</v>
      </c>
      <c r="P10" s="357"/>
      <c r="Q10" s="360" t="s">
        <v>163</v>
      </c>
      <c r="R10" s="361" t="s">
        <v>272</v>
      </c>
      <c r="S10" s="293"/>
      <c r="T10" s="362">
        <v>0</v>
      </c>
      <c r="V10" s="363">
        <v>0</v>
      </c>
      <c r="W10" s="363">
        <v>0.75</v>
      </c>
      <c r="X10" s="363">
        <v>0</v>
      </c>
      <c r="Y10" s="363">
        <v>0</v>
      </c>
      <c r="Z10" s="363">
        <v>0.25</v>
      </c>
      <c r="AA10" s="364"/>
      <c r="AB10" s="339"/>
      <c r="AC10" s="339"/>
      <c r="AD10" s="339" t="e">
        <v>#N/A</v>
      </c>
      <c r="AG10" s="293" t="e">
        <v>#REF!</v>
      </c>
      <c r="AI10" s="293" t="e">
        <v>#N/A</v>
      </c>
      <c r="AM10" s="365"/>
      <c r="AN10" s="339"/>
      <c r="AO10" s="339"/>
    </row>
    <row r="11" spans="1:41" ht="19.149999999999999" customHeight="1">
      <c r="A11" s="293"/>
      <c r="B11" s="366">
        <v>3</v>
      </c>
      <c r="C11" s="367" t="s">
        <v>273</v>
      </c>
      <c r="D11" s="366" t="s">
        <v>268</v>
      </c>
      <c r="E11" s="368">
        <v>523</v>
      </c>
      <c r="F11" s="368">
        <v>0</v>
      </c>
      <c r="G11" s="368">
        <v>0</v>
      </c>
      <c r="H11" s="368">
        <v>250</v>
      </c>
      <c r="I11" s="366" t="e">
        <v>#N/A</v>
      </c>
      <c r="J11" s="343"/>
      <c r="K11" s="369">
        <v>0</v>
      </c>
      <c r="L11" s="369">
        <v>187.5</v>
      </c>
      <c r="M11" s="369">
        <v>62.5</v>
      </c>
      <c r="N11" s="368"/>
      <c r="O11" s="370" t="s">
        <v>269</v>
      </c>
      <c r="P11" s="343"/>
      <c r="Q11" s="371" t="s">
        <v>163</v>
      </c>
      <c r="R11" s="372" t="s">
        <v>272</v>
      </c>
      <c r="S11" s="293"/>
      <c r="T11" s="362">
        <v>0</v>
      </c>
      <c r="V11" s="363">
        <v>0</v>
      </c>
      <c r="W11" s="363">
        <v>0.75</v>
      </c>
      <c r="X11" s="363">
        <v>0</v>
      </c>
      <c r="Y11" s="363">
        <v>0</v>
      </c>
      <c r="Z11" s="363">
        <v>0.25</v>
      </c>
      <c r="AA11" s="364"/>
      <c r="AB11" s="339"/>
      <c r="AC11" s="339"/>
      <c r="AD11" s="339" t="e">
        <v>#N/A</v>
      </c>
      <c r="AG11" s="293" t="e">
        <v>#REF!</v>
      </c>
      <c r="AI11" s="293" t="e">
        <v>#N/A</v>
      </c>
      <c r="AM11" s="365"/>
      <c r="AN11" s="339"/>
      <c r="AO11" s="339"/>
    </row>
    <row r="12" spans="1:41" ht="19.149999999999999" customHeight="1">
      <c r="A12" s="293"/>
      <c r="B12" s="339">
        <v>4</v>
      </c>
      <c r="C12" s="355" t="s">
        <v>274</v>
      </c>
      <c r="D12" s="339" t="s">
        <v>268</v>
      </c>
      <c r="E12" s="356">
        <v>120</v>
      </c>
      <c r="F12" s="356">
        <v>0</v>
      </c>
      <c r="G12" s="356">
        <v>0</v>
      </c>
      <c r="H12" s="356">
        <v>120</v>
      </c>
      <c r="I12" s="339" t="e">
        <v>#N/A</v>
      </c>
      <c r="J12" s="357"/>
      <c r="K12" s="358">
        <v>0</v>
      </c>
      <c r="L12" s="358">
        <v>90</v>
      </c>
      <c r="M12" s="358">
        <v>30</v>
      </c>
      <c r="N12" s="356"/>
      <c r="O12" s="359" t="s">
        <v>269</v>
      </c>
      <c r="P12" s="357"/>
      <c r="Q12" s="360" t="s">
        <v>163</v>
      </c>
      <c r="R12" s="361" t="s">
        <v>275</v>
      </c>
      <c r="S12" s="293"/>
      <c r="T12" s="362">
        <v>0</v>
      </c>
      <c r="V12" s="363">
        <v>0</v>
      </c>
      <c r="W12" s="363">
        <v>0.75</v>
      </c>
      <c r="X12" s="363">
        <v>0</v>
      </c>
      <c r="Y12" s="363">
        <v>0</v>
      </c>
      <c r="Z12" s="363">
        <v>0.25</v>
      </c>
      <c r="AA12" s="364"/>
      <c r="AB12" s="339"/>
      <c r="AC12" s="339"/>
      <c r="AD12" s="339" t="e">
        <v>#N/A</v>
      </c>
      <c r="AG12" s="293" t="e">
        <v>#REF!</v>
      </c>
      <c r="AI12" s="293" t="e">
        <v>#N/A</v>
      </c>
      <c r="AM12" s="365"/>
      <c r="AN12" s="339"/>
      <c r="AO12" s="339"/>
    </row>
    <row r="13" spans="1:41" ht="19.149999999999999" customHeight="1">
      <c r="A13" s="293"/>
      <c r="B13" s="366">
        <v>5</v>
      </c>
      <c r="C13" s="367" t="s">
        <v>276</v>
      </c>
      <c r="D13" s="366" t="s">
        <v>268</v>
      </c>
      <c r="E13" s="368">
        <v>4726</v>
      </c>
      <c r="F13" s="368">
        <v>38</v>
      </c>
      <c r="G13" s="368">
        <v>4688</v>
      </c>
      <c r="H13" s="368">
        <v>0</v>
      </c>
      <c r="I13" s="366" t="e">
        <v>#N/A</v>
      </c>
      <c r="J13" s="343" t="s">
        <v>209</v>
      </c>
      <c r="K13" s="369">
        <v>0</v>
      </c>
      <c r="L13" s="369">
        <v>0</v>
      </c>
      <c r="M13" s="369">
        <v>0</v>
      </c>
      <c r="N13" s="368"/>
      <c r="O13" s="370" t="s">
        <v>269</v>
      </c>
      <c r="P13" s="343"/>
      <c r="Q13" s="371" t="s">
        <v>163</v>
      </c>
      <c r="R13" s="372" t="s">
        <v>275</v>
      </c>
      <c r="S13" s="293"/>
      <c r="T13" s="362">
        <v>0</v>
      </c>
      <c r="V13" s="363">
        <v>0.75</v>
      </c>
      <c r="W13" s="363">
        <v>0</v>
      </c>
      <c r="X13" s="363">
        <v>0</v>
      </c>
      <c r="Y13" s="363">
        <v>0</v>
      </c>
      <c r="Z13" s="363">
        <v>0.25</v>
      </c>
      <c r="AA13" s="364"/>
      <c r="AB13" s="339"/>
      <c r="AC13" s="339"/>
      <c r="AD13" s="339" t="e">
        <v>#N/A</v>
      </c>
      <c r="AG13" s="293" t="e">
        <v>#REF!</v>
      </c>
      <c r="AI13" s="293" t="e">
        <v>#N/A</v>
      </c>
      <c r="AM13" s="365"/>
      <c r="AN13" s="339"/>
      <c r="AO13" s="339"/>
    </row>
    <row r="14" spans="1:41" ht="19.149999999999999" customHeight="1">
      <c r="A14" s="293"/>
      <c r="B14" s="339">
        <v>6</v>
      </c>
      <c r="C14" s="355" t="s">
        <v>277</v>
      </c>
      <c r="D14" s="339" t="s">
        <v>278</v>
      </c>
      <c r="E14" s="356">
        <v>435</v>
      </c>
      <c r="F14" s="356">
        <v>0</v>
      </c>
      <c r="G14" s="356">
        <v>0</v>
      </c>
      <c r="H14" s="356">
        <v>435</v>
      </c>
      <c r="I14" s="339" t="e">
        <v>#N/A</v>
      </c>
      <c r="J14" s="357"/>
      <c r="K14" s="358">
        <v>0</v>
      </c>
      <c r="L14" s="358">
        <v>0</v>
      </c>
      <c r="M14" s="358">
        <v>435</v>
      </c>
      <c r="N14" s="356"/>
      <c r="O14" s="359" t="s">
        <v>269</v>
      </c>
      <c r="P14" s="357"/>
      <c r="Q14" s="360" t="s">
        <v>163</v>
      </c>
      <c r="R14" s="361" t="s">
        <v>279</v>
      </c>
      <c r="S14" s="293"/>
      <c r="T14" s="362">
        <v>0</v>
      </c>
      <c r="V14" s="363">
        <v>0</v>
      </c>
      <c r="W14" s="363">
        <v>0</v>
      </c>
      <c r="X14" s="363">
        <v>0</v>
      </c>
      <c r="Y14" s="363">
        <v>0</v>
      </c>
      <c r="Z14" s="363">
        <v>1</v>
      </c>
      <c r="AA14" s="364"/>
      <c r="AB14" s="339"/>
      <c r="AC14" s="339"/>
      <c r="AD14" s="339" t="e">
        <v>#N/A</v>
      </c>
      <c r="AG14" s="293" t="e">
        <v>#REF!</v>
      </c>
      <c r="AI14" s="293" t="e">
        <v>#N/A</v>
      </c>
      <c r="AM14" s="365"/>
      <c r="AN14" s="339"/>
      <c r="AO14" s="339"/>
    </row>
    <row r="15" spans="1:41" ht="19.149999999999999" customHeight="1">
      <c r="A15" s="293"/>
      <c r="B15" s="366">
        <v>7</v>
      </c>
      <c r="C15" s="367" t="s">
        <v>280</v>
      </c>
      <c r="D15" s="366" t="s">
        <v>278</v>
      </c>
      <c r="E15" s="368">
        <v>859</v>
      </c>
      <c r="F15" s="368">
        <v>66</v>
      </c>
      <c r="G15" s="368">
        <v>793</v>
      </c>
      <c r="H15" s="368">
        <v>0</v>
      </c>
      <c r="I15" s="366" t="e">
        <v>#N/A</v>
      </c>
      <c r="J15" s="343" t="s">
        <v>209</v>
      </c>
      <c r="K15" s="369">
        <v>0</v>
      </c>
      <c r="L15" s="369">
        <v>0</v>
      </c>
      <c r="M15" s="369">
        <v>0</v>
      </c>
      <c r="N15" s="368"/>
      <c r="O15" s="370" t="s">
        <v>269</v>
      </c>
      <c r="P15" s="343"/>
      <c r="Q15" s="371" t="s">
        <v>163</v>
      </c>
      <c r="R15" s="372" t="s">
        <v>279</v>
      </c>
      <c r="S15" s="293"/>
      <c r="T15" s="362">
        <v>0</v>
      </c>
      <c r="V15" s="363">
        <v>0</v>
      </c>
      <c r="W15" s="363">
        <v>0</v>
      </c>
      <c r="X15" s="363">
        <v>0</v>
      </c>
      <c r="Y15" s="363">
        <v>0</v>
      </c>
      <c r="Z15" s="363">
        <v>1</v>
      </c>
      <c r="AA15" s="364"/>
      <c r="AB15" s="339"/>
      <c r="AC15" s="339"/>
      <c r="AD15" s="339" t="e">
        <v>#N/A</v>
      </c>
      <c r="AG15" s="293" t="e">
        <v>#REF!</v>
      </c>
      <c r="AI15" s="293" t="e">
        <v>#N/A</v>
      </c>
      <c r="AM15" s="365"/>
      <c r="AN15" s="339"/>
      <c r="AO15" s="339"/>
    </row>
    <row r="16" spans="1:41" ht="19.149999999999999" customHeight="1">
      <c r="A16" s="293"/>
      <c r="B16" s="339">
        <v>8</v>
      </c>
      <c r="C16" s="355" t="s">
        <v>281</v>
      </c>
      <c r="D16" s="339" t="s">
        <v>278</v>
      </c>
      <c r="E16" s="356">
        <v>226</v>
      </c>
      <c r="F16" s="356">
        <v>0</v>
      </c>
      <c r="G16" s="356">
        <v>226</v>
      </c>
      <c r="H16" s="356">
        <v>0</v>
      </c>
      <c r="I16" s="339" t="e">
        <v>#N/A</v>
      </c>
      <c r="J16" s="357"/>
      <c r="K16" s="358">
        <v>0</v>
      </c>
      <c r="L16" s="358">
        <v>0</v>
      </c>
      <c r="M16" s="358">
        <v>0</v>
      </c>
      <c r="N16" s="356"/>
      <c r="O16" s="359" t="s">
        <v>269</v>
      </c>
      <c r="P16" s="357"/>
      <c r="Q16" s="360" t="s">
        <v>163</v>
      </c>
      <c r="R16" s="361" t="s">
        <v>282</v>
      </c>
      <c r="S16" s="293"/>
      <c r="T16" s="362">
        <v>0</v>
      </c>
      <c r="V16" s="363">
        <v>0</v>
      </c>
      <c r="W16" s="363">
        <v>0</v>
      </c>
      <c r="X16" s="363">
        <v>0</v>
      </c>
      <c r="Y16" s="363">
        <v>0</v>
      </c>
      <c r="Z16" s="363">
        <v>1</v>
      </c>
      <c r="AA16" s="364"/>
      <c r="AB16" s="339"/>
      <c r="AC16" s="339"/>
      <c r="AD16" s="339" t="e">
        <v>#N/A</v>
      </c>
      <c r="AG16" s="293" t="e">
        <v>#REF!</v>
      </c>
      <c r="AI16" s="293" t="e">
        <v>#N/A</v>
      </c>
      <c r="AM16" s="365"/>
      <c r="AN16" s="339"/>
      <c r="AO16" s="339"/>
    </row>
    <row r="17" spans="1:41" ht="19.149999999999999" customHeight="1">
      <c r="A17" s="293"/>
      <c r="B17" s="340">
        <v>9</v>
      </c>
      <c r="C17" s="341" t="s">
        <v>283</v>
      </c>
      <c r="D17" s="340" t="s">
        <v>284</v>
      </c>
      <c r="E17" s="342">
        <v>5126</v>
      </c>
      <c r="F17" s="342">
        <v>0</v>
      </c>
      <c r="G17" s="342">
        <v>0</v>
      </c>
      <c r="H17" s="342">
        <v>5126</v>
      </c>
      <c r="I17" s="366" t="e">
        <v>#N/A</v>
      </c>
      <c r="J17" s="343"/>
      <c r="K17" s="344">
        <v>0</v>
      </c>
      <c r="L17" s="344">
        <v>0</v>
      </c>
      <c r="M17" s="344">
        <v>5126</v>
      </c>
      <c r="N17" s="368"/>
      <c r="O17" s="370" t="s">
        <v>269</v>
      </c>
      <c r="P17" s="343"/>
      <c r="Q17" s="347" t="s">
        <v>163</v>
      </c>
      <c r="R17" s="348" t="s">
        <v>282</v>
      </c>
      <c r="S17" s="293"/>
      <c r="T17" s="362">
        <v>0</v>
      </c>
      <c r="V17" s="351">
        <v>0</v>
      </c>
      <c r="W17" s="351">
        <v>0</v>
      </c>
      <c r="X17" s="351">
        <v>0</v>
      </c>
      <c r="Y17" s="351">
        <v>0</v>
      </c>
      <c r="Z17" s="351">
        <v>1</v>
      </c>
      <c r="AA17" s="364"/>
      <c r="AB17" s="339"/>
      <c r="AC17" s="339"/>
      <c r="AD17" s="339" t="e">
        <v>#N/A</v>
      </c>
      <c r="AG17" s="293" t="e">
        <v>#REF!</v>
      </c>
      <c r="AI17" s="293" t="e">
        <v>#N/A</v>
      </c>
      <c r="AM17" s="365"/>
      <c r="AN17" s="339"/>
      <c r="AO17" s="339"/>
    </row>
    <row r="18" spans="1:41" ht="19.149999999999999" customHeight="1">
      <c r="A18" s="293"/>
      <c r="B18" s="354">
        <v>10</v>
      </c>
      <c r="C18" s="373" t="s">
        <v>285</v>
      </c>
      <c r="D18" s="354" t="s">
        <v>284</v>
      </c>
      <c r="E18" s="374">
        <v>2960</v>
      </c>
      <c r="F18" s="374">
        <v>0</v>
      </c>
      <c r="G18" s="374">
        <v>160</v>
      </c>
      <c r="H18" s="374">
        <v>2800</v>
      </c>
      <c r="I18" s="339">
        <v>0</v>
      </c>
      <c r="J18" s="357"/>
      <c r="K18" s="353">
        <v>0</v>
      </c>
      <c r="L18" s="353">
        <v>0</v>
      </c>
      <c r="M18" s="353">
        <v>2800</v>
      </c>
      <c r="N18" s="356">
        <v>-2</v>
      </c>
      <c r="O18" s="359">
        <v>0</v>
      </c>
      <c r="P18" s="357"/>
      <c r="Q18" s="375" t="s">
        <v>163</v>
      </c>
      <c r="R18" s="376" t="s">
        <v>270</v>
      </c>
      <c r="S18" s="293"/>
      <c r="T18" s="362">
        <v>0</v>
      </c>
      <c r="V18" s="351">
        <v>0</v>
      </c>
      <c r="W18" s="351">
        <v>0</v>
      </c>
      <c r="X18" s="351">
        <v>0</v>
      </c>
      <c r="Y18" s="351">
        <v>0</v>
      </c>
      <c r="Z18" s="351">
        <v>1</v>
      </c>
      <c r="AA18" s="364"/>
      <c r="AB18" s="366"/>
      <c r="AC18" s="366"/>
      <c r="AD18" s="366">
        <v>0</v>
      </c>
      <c r="AG18" s="293" t="e">
        <v>#REF!</v>
      </c>
      <c r="AI18" s="293" t="s">
        <v>285</v>
      </c>
      <c r="AM18" s="365">
        <v>2100</v>
      </c>
      <c r="AN18" s="339"/>
      <c r="AO18" s="339"/>
    </row>
    <row r="19" spans="1:41" s="349" customFormat="1" ht="19.149999999999999" customHeight="1">
      <c r="A19" s="293"/>
      <c r="B19" s="366">
        <v>11</v>
      </c>
      <c r="C19" s="367" t="s">
        <v>286</v>
      </c>
      <c r="D19" s="366" t="s">
        <v>284</v>
      </c>
      <c r="E19" s="368">
        <v>624</v>
      </c>
      <c r="F19" s="368">
        <v>0</v>
      </c>
      <c r="G19" s="368">
        <v>0</v>
      </c>
      <c r="H19" s="368">
        <v>624</v>
      </c>
      <c r="I19" s="340" t="e">
        <v>#N/A</v>
      </c>
      <c r="J19" s="346"/>
      <c r="K19" s="369">
        <v>0</v>
      </c>
      <c r="L19" s="369">
        <v>0</v>
      </c>
      <c r="M19" s="369">
        <v>624</v>
      </c>
      <c r="N19" s="342">
        <v>-2</v>
      </c>
      <c r="O19" s="345" t="e">
        <v>#N/A</v>
      </c>
      <c r="P19" s="346"/>
      <c r="Q19" s="371" t="s">
        <v>163</v>
      </c>
      <c r="R19" s="372" t="s">
        <v>282</v>
      </c>
      <c r="T19" s="350">
        <v>0</v>
      </c>
      <c r="V19" s="363">
        <v>0</v>
      </c>
      <c r="W19" s="363">
        <v>0</v>
      </c>
      <c r="X19" s="363">
        <v>0</v>
      </c>
      <c r="Y19" s="363">
        <v>0</v>
      </c>
      <c r="Z19" s="363">
        <v>1</v>
      </c>
      <c r="AA19" s="352"/>
      <c r="AB19" s="354"/>
      <c r="AC19" s="354"/>
      <c r="AD19" s="354" t="e">
        <v>#N/A</v>
      </c>
      <c r="AG19" s="349" t="e">
        <v>#REF!</v>
      </c>
      <c r="AI19" s="349" t="e">
        <v>#N/A</v>
      </c>
      <c r="AM19" s="353"/>
      <c r="AN19" s="354"/>
      <c r="AO19" s="354"/>
    </row>
    <row r="20" spans="1:41" s="349" customFormat="1" ht="19.149999999999999" customHeight="1">
      <c r="A20" s="293"/>
      <c r="B20" s="339">
        <v>12</v>
      </c>
      <c r="C20" s="355" t="s">
        <v>287</v>
      </c>
      <c r="D20" s="339" t="s">
        <v>284</v>
      </c>
      <c r="E20" s="356">
        <v>305</v>
      </c>
      <c r="F20" s="356">
        <v>0</v>
      </c>
      <c r="G20" s="356">
        <v>0</v>
      </c>
      <c r="H20" s="356">
        <v>305</v>
      </c>
      <c r="I20" s="354"/>
      <c r="J20" s="377"/>
      <c r="K20" s="358">
        <v>0</v>
      </c>
      <c r="L20" s="358">
        <v>0</v>
      </c>
      <c r="M20" s="358">
        <v>305</v>
      </c>
      <c r="N20" s="374"/>
      <c r="O20" s="378"/>
      <c r="P20" s="377"/>
      <c r="Q20" s="360" t="s">
        <v>163</v>
      </c>
      <c r="R20" s="361" t="s">
        <v>282</v>
      </c>
      <c r="T20" s="350">
        <v>0</v>
      </c>
      <c r="V20" s="363">
        <v>0</v>
      </c>
      <c r="W20" s="363">
        <v>0</v>
      </c>
      <c r="X20" s="363">
        <v>0</v>
      </c>
      <c r="Y20" s="363">
        <v>0</v>
      </c>
      <c r="Z20" s="363">
        <v>1</v>
      </c>
      <c r="AA20" s="352"/>
      <c r="AB20" s="340"/>
      <c r="AC20" s="340"/>
      <c r="AD20" s="340"/>
      <c r="AG20" s="349" t="e">
        <v>#REF!</v>
      </c>
      <c r="AM20" s="353"/>
      <c r="AN20" s="354"/>
      <c r="AO20" s="354"/>
    </row>
    <row r="21" spans="1:41" ht="19.149999999999999" customHeight="1">
      <c r="A21" s="293"/>
      <c r="B21" s="366">
        <v>13</v>
      </c>
      <c r="C21" s="367" t="s">
        <v>288</v>
      </c>
      <c r="D21" s="366" t="s">
        <v>284</v>
      </c>
      <c r="E21" s="368">
        <v>4702</v>
      </c>
      <c r="F21" s="368">
        <v>59</v>
      </c>
      <c r="G21" s="368">
        <v>4643</v>
      </c>
      <c r="H21" s="368">
        <v>0</v>
      </c>
      <c r="I21" s="366" t="e">
        <v>#N/A</v>
      </c>
      <c r="J21" s="343" t="s">
        <v>209</v>
      </c>
      <c r="K21" s="369">
        <v>0</v>
      </c>
      <c r="L21" s="369">
        <v>0</v>
      </c>
      <c r="M21" s="369">
        <v>0</v>
      </c>
      <c r="N21" s="368"/>
      <c r="O21" s="370" t="s">
        <v>269</v>
      </c>
      <c r="P21" s="343"/>
      <c r="Q21" s="371" t="s">
        <v>163</v>
      </c>
      <c r="R21" s="372" t="s">
        <v>282</v>
      </c>
      <c r="S21" s="293"/>
      <c r="T21" s="362">
        <v>0</v>
      </c>
      <c r="V21" s="363">
        <v>0</v>
      </c>
      <c r="W21" s="363">
        <v>0</v>
      </c>
      <c r="X21" s="363">
        <v>0</v>
      </c>
      <c r="Y21" s="363">
        <v>0</v>
      </c>
      <c r="Z21" s="363">
        <v>1</v>
      </c>
      <c r="AA21" s="364"/>
      <c r="AB21" s="366"/>
      <c r="AC21" s="366"/>
      <c r="AD21" s="366" t="e">
        <v>#N/A</v>
      </c>
      <c r="AG21" s="293" t="e">
        <v>#REF!</v>
      </c>
      <c r="AI21" s="293" t="e">
        <v>#N/A</v>
      </c>
      <c r="AM21" s="365"/>
      <c r="AN21" s="339"/>
      <c r="AO21" s="339"/>
    </row>
    <row r="22" spans="1:41" ht="19.149999999999999" customHeight="1">
      <c r="A22" s="293"/>
      <c r="B22" s="339">
        <v>14</v>
      </c>
      <c r="C22" s="355" t="s">
        <v>289</v>
      </c>
      <c r="D22" s="339" t="s">
        <v>284</v>
      </c>
      <c r="E22" s="356">
        <v>205</v>
      </c>
      <c r="F22" s="356">
        <v>0</v>
      </c>
      <c r="G22" s="356">
        <v>205</v>
      </c>
      <c r="H22" s="356">
        <v>0</v>
      </c>
      <c r="I22" s="339" t="e">
        <v>#N/A</v>
      </c>
      <c r="J22" s="357"/>
      <c r="K22" s="358">
        <v>0</v>
      </c>
      <c r="L22" s="358">
        <v>0</v>
      </c>
      <c r="M22" s="358">
        <v>0</v>
      </c>
      <c r="N22" s="356"/>
      <c r="O22" s="359" t="s">
        <v>269</v>
      </c>
      <c r="P22" s="357"/>
      <c r="Q22" s="360" t="s">
        <v>163</v>
      </c>
      <c r="R22" s="361" t="s">
        <v>282</v>
      </c>
      <c r="S22" s="293"/>
      <c r="T22" s="362">
        <v>0</v>
      </c>
      <c r="V22" s="363">
        <v>0</v>
      </c>
      <c r="W22" s="363">
        <v>0</v>
      </c>
      <c r="X22" s="363">
        <v>0</v>
      </c>
      <c r="Y22" s="363">
        <v>1</v>
      </c>
      <c r="Z22" s="363">
        <v>0</v>
      </c>
      <c r="AA22" s="364"/>
      <c r="AB22" s="339"/>
      <c r="AC22" s="339"/>
      <c r="AD22" s="339" t="e">
        <v>#N/A</v>
      </c>
      <c r="AG22" s="293" t="e">
        <v>#REF!</v>
      </c>
      <c r="AI22" s="293" t="e">
        <v>#N/A</v>
      </c>
      <c r="AM22" s="365"/>
      <c r="AN22" s="339"/>
      <c r="AO22" s="339"/>
    </row>
    <row r="23" spans="1:41" ht="19.149999999999999" customHeight="1">
      <c r="A23" s="293"/>
      <c r="B23" s="366">
        <v>15</v>
      </c>
      <c r="C23" s="367" t="s">
        <v>290</v>
      </c>
      <c r="D23" s="366" t="s">
        <v>291</v>
      </c>
      <c r="E23" s="368">
        <v>376</v>
      </c>
      <c r="F23" s="368">
        <v>0</v>
      </c>
      <c r="G23" s="368">
        <v>0</v>
      </c>
      <c r="H23" s="368">
        <v>376</v>
      </c>
      <c r="I23" s="366" t="e">
        <v>#N/A</v>
      </c>
      <c r="J23" s="343"/>
      <c r="K23" s="369">
        <v>0</v>
      </c>
      <c r="L23" s="369">
        <v>282</v>
      </c>
      <c r="M23" s="369">
        <v>94</v>
      </c>
      <c r="N23" s="368"/>
      <c r="O23" s="370" t="s">
        <v>269</v>
      </c>
      <c r="P23" s="343"/>
      <c r="Q23" s="371" t="s">
        <v>163</v>
      </c>
      <c r="R23" s="372" t="s">
        <v>292</v>
      </c>
      <c r="S23" s="293"/>
      <c r="T23" s="362">
        <v>0</v>
      </c>
      <c r="V23" s="363">
        <v>0</v>
      </c>
      <c r="W23" s="363">
        <v>0.75</v>
      </c>
      <c r="X23" s="363">
        <v>0</v>
      </c>
      <c r="Y23" s="363">
        <v>0</v>
      </c>
      <c r="Z23" s="363">
        <v>0.25</v>
      </c>
      <c r="AA23" s="379"/>
      <c r="AB23" s="339"/>
      <c r="AC23" s="339"/>
      <c r="AD23" s="339" t="e">
        <v>#N/A</v>
      </c>
      <c r="AG23" s="293" t="e">
        <v>#REF!</v>
      </c>
      <c r="AI23" s="293" t="e">
        <v>#N/A</v>
      </c>
      <c r="AM23" s="365"/>
      <c r="AN23" s="339"/>
      <c r="AO23" s="339"/>
    </row>
    <row r="24" spans="1:41" ht="19.149999999999999" customHeight="1">
      <c r="A24" s="293"/>
      <c r="B24" s="339">
        <v>16</v>
      </c>
      <c r="C24" s="355" t="s">
        <v>293</v>
      </c>
      <c r="D24" s="339" t="s">
        <v>291</v>
      </c>
      <c r="E24" s="356">
        <v>125</v>
      </c>
      <c r="F24" s="356">
        <v>0</v>
      </c>
      <c r="G24" s="356">
        <v>125</v>
      </c>
      <c r="H24" s="356">
        <v>0</v>
      </c>
      <c r="I24" s="339" t="e">
        <v>#N/A</v>
      </c>
      <c r="J24" s="357"/>
      <c r="K24" s="358">
        <v>0</v>
      </c>
      <c r="L24" s="358">
        <v>0</v>
      </c>
      <c r="M24" s="358">
        <v>0</v>
      </c>
      <c r="N24" s="356"/>
      <c r="O24" s="359" t="s">
        <v>269</v>
      </c>
      <c r="P24" s="357"/>
      <c r="Q24" s="360">
        <v>0.125</v>
      </c>
      <c r="R24" s="361" t="s">
        <v>294</v>
      </c>
      <c r="S24" s="293"/>
      <c r="T24" s="362">
        <v>0</v>
      </c>
      <c r="V24" s="363">
        <v>0</v>
      </c>
      <c r="W24" s="363">
        <v>0</v>
      </c>
      <c r="X24" s="363">
        <v>0</v>
      </c>
      <c r="Y24" s="363">
        <v>0</v>
      </c>
      <c r="Z24" s="363">
        <v>1</v>
      </c>
      <c r="AA24" s="364"/>
      <c r="AB24" s="339"/>
      <c r="AC24" s="339"/>
      <c r="AD24" s="339" t="e">
        <v>#N/A</v>
      </c>
      <c r="AG24" s="293" t="e">
        <v>#REF!</v>
      </c>
      <c r="AI24" s="293" t="e">
        <v>#N/A</v>
      </c>
      <c r="AM24" s="365"/>
      <c r="AN24" s="339"/>
      <c r="AO24" s="339"/>
    </row>
    <row r="25" spans="1:41" ht="19.149999999999999" customHeight="1">
      <c r="A25" s="293"/>
      <c r="B25" s="340">
        <v>17</v>
      </c>
      <c r="C25" s="341" t="s">
        <v>295</v>
      </c>
      <c r="D25" s="340" t="s">
        <v>296</v>
      </c>
      <c r="E25" s="342">
        <v>1200</v>
      </c>
      <c r="F25" s="342">
        <v>0</v>
      </c>
      <c r="G25" s="342">
        <v>0</v>
      </c>
      <c r="H25" s="342">
        <v>1200</v>
      </c>
      <c r="I25" s="366" t="e">
        <v>#N/A</v>
      </c>
      <c r="J25" s="343" t="s">
        <v>209</v>
      </c>
      <c r="K25" s="344">
        <v>0</v>
      </c>
      <c r="L25" s="344">
        <v>0</v>
      </c>
      <c r="M25" s="344">
        <v>1200</v>
      </c>
      <c r="N25" s="368"/>
      <c r="O25" s="370" t="s">
        <v>269</v>
      </c>
      <c r="P25" s="343"/>
      <c r="Q25" s="347" t="s">
        <v>163</v>
      </c>
      <c r="R25" s="348" t="s">
        <v>282</v>
      </c>
      <c r="S25" s="293"/>
      <c r="T25" s="362">
        <v>0</v>
      </c>
      <c r="V25" s="351">
        <v>0</v>
      </c>
      <c r="W25" s="351">
        <v>0</v>
      </c>
      <c r="X25" s="351">
        <v>0</v>
      </c>
      <c r="Y25" s="351">
        <v>0</v>
      </c>
      <c r="Z25" s="351">
        <v>1</v>
      </c>
      <c r="AA25" s="364"/>
      <c r="AB25" s="339"/>
      <c r="AC25" s="339"/>
      <c r="AD25" s="339" t="e">
        <v>#N/A</v>
      </c>
      <c r="AG25" s="293" t="e">
        <v>#REF!</v>
      </c>
      <c r="AI25" s="293" t="e">
        <v>#N/A</v>
      </c>
      <c r="AM25" s="365">
        <v>960</v>
      </c>
      <c r="AN25" s="339"/>
      <c r="AO25" s="339"/>
    </row>
    <row r="26" spans="1:41" ht="19.149999999999999" customHeight="1">
      <c r="A26" s="293"/>
      <c r="B26" s="339">
        <v>18</v>
      </c>
      <c r="C26" s="355" t="s">
        <v>297</v>
      </c>
      <c r="D26" s="339" t="s">
        <v>296</v>
      </c>
      <c r="E26" s="356">
        <v>330</v>
      </c>
      <c r="F26" s="356">
        <v>0</v>
      </c>
      <c r="G26" s="356">
        <v>50</v>
      </c>
      <c r="H26" s="356">
        <v>280</v>
      </c>
      <c r="I26" s="339" t="e">
        <v>#N/A</v>
      </c>
      <c r="J26" s="357"/>
      <c r="K26" s="358">
        <v>0</v>
      </c>
      <c r="L26" s="358">
        <v>0</v>
      </c>
      <c r="M26" s="358">
        <v>280</v>
      </c>
      <c r="N26" s="356"/>
      <c r="O26" s="359" t="s">
        <v>269</v>
      </c>
      <c r="P26" s="357"/>
      <c r="Q26" s="360" t="s">
        <v>163</v>
      </c>
      <c r="R26" s="361" t="s">
        <v>282</v>
      </c>
      <c r="S26" s="293"/>
      <c r="T26" s="362">
        <v>0</v>
      </c>
      <c r="V26" s="363">
        <v>0</v>
      </c>
      <c r="W26" s="363">
        <v>0</v>
      </c>
      <c r="X26" s="363">
        <v>0</v>
      </c>
      <c r="Y26" s="363">
        <v>0</v>
      </c>
      <c r="Z26" s="363">
        <v>1</v>
      </c>
      <c r="AA26" s="364"/>
      <c r="AB26" s="339"/>
      <c r="AC26" s="339"/>
      <c r="AD26" s="339" t="e">
        <v>#N/A</v>
      </c>
      <c r="AG26" s="293" t="e">
        <v>#REF!</v>
      </c>
      <c r="AI26" s="293" t="e">
        <v>#N/A</v>
      </c>
      <c r="AM26" s="365"/>
      <c r="AN26" s="339"/>
      <c r="AO26" s="339"/>
    </row>
    <row r="27" spans="1:41" ht="30.75" customHeight="1">
      <c r="A27" s="293"/>
      <c r="B27" s="366">
        <v>19</v>
      </c>
      <c r="C27" s="380" t="s">
        <v>298</v>
      </c>
      <c r="D27" s="366" t="s">
        <v>296</v>
      </c>
      <c r="E27" s="368">
        <v>1572</v>
      </c>
      <c r="F27" s="368">
        <v>0</v>
      </c>
      <c r="G27" s="368">
        <v>1572</v>
      </c>
      <c r="H27" s="368">
        <v>0</v>
      </c>
      <c r="I27" s="366"/>
      <c r="J27" s="343" t="s">
        <v>209</v>
      </c>
      <c r="K27" s="369">
        <v>0</v>
      </c>
      <c r="L27" s="369">
        <v>0</v>
      </c>
      <c r="M27" s="369">
        <v>0</v>
      </c>
      <c r="N27" s="368"/>
      <c r="O27" s="370"/>
      <c r="P27" s="343"/>
      <c r="Q27" s="371" t="s">
        <v>163</v>
      </c>
      <c r="R27" s="372" t="s">
        <v>282</v>
      </c>
      <c r="S27" s="293"/>
      <c r="T27" s="362">
        <v>0</v>
      </c>
      <c r="V27" s="363">
        <v>0</v>
      </c>
      <c r="W27" s="363">
        <v>0</v>
      </c>
      <c r="X27" s="363">
        <v>0</v>
      </c>
      <c r="Y27" s="363">
        <v>0</v>
      </c>
      <c r="Z27" s="363">
        <v>1</v>
      </c>
      <c r="AA27" s="364"/>
      <c r="AB27" s="366"/>
      <c r="AC27" s="366"/>
      <c r="AD27" s="366"/>
      <c r="AG27" s="293" t="e">
        <v>#REF!</v>
      </c>
      <c r="AM27" s="365"/>
      <c r="AN27" s="339"/>
      <c r="AO27" s="339"/>
    </row>
    <row r="28" spans="1:41" ht="19.149999999999999" customHeight="1">
      <c r="A28" s="293"/>
      <c r="B28" s="354">
        <v>20</v>
      </c>
      <c r="C28" s="373" t="s">
        <v>299</v>
      </c>
      <c r="D28" s="354" t="s">
        <v>300</v>
      </c>
      <c r="E28" s="374">
        <v>2250</v>
      </c>
      <c r="F28" s="374">
        <v>0</v>
      </c>
      <c r="G28" s="374">
        <v>80</v>
      </c>
      <c r="H28" s="374">
        <v>2170</v>
      </c>
      <c r="I28" s="339"/>
      <c r="J28" s="357"/>
      <c r="K28" s="353">
        <v>0</v>
      </c>
      <c r="L28" s="353">
        <v>0</v>
      </c>
      <c r="M28" s="353">
        <v>2170</v>
      </c>
      <c r="N28" s="356"/>
      <c r="O28" s="359"/>
      <c r="P28" s="357"/>
      <c r="Q28" s="375">
        <v>0.125</v>
      </c>
      <c r="R28" s="376" t="s">
        <v>294</v>
      </c>
      <c r="S28" s="293"/>
      <c r="T28" s="362">
        <v>0</v>
      </c>
      <c r="V28" s="351">
        <v>0</v>
      </c>
      <c r="W28" s="351">
        <v>0</v>
      </c>
      <c r="X28" s="351">
        <v>0</v>
      </c>
      <c r="Y28" s="351">
        <v>0</v>
      </c>
      <c r="Z28" s="351">
        <v>1</v>
      </c>
      <c r="AA28" s="364"/>
      <c r="AB28" s="366"/>
      <c r="AC28" s="366"/>
      <c r="AD28" s="366"/>
      <c r="AG28" s="293" t="e">
        <v>#REF!</v>
      </c>
      <c r="AM28" s="365"/>
      <c r="AN28" s="339"/>
      <c r="AO28" s="339"/>
    </row>
    <row r="29" spans="1:41" ht="19.149999999999999" customHeight="1">
      <c r="A29" s="293"/>
      <c r="B29" s="366">
        <v>21</v>
      </c>
      <c r="C29" s="367" t="s">
        <v>301</v>
      </c>
      <c r="D29" s="366" t="s">
        <v>300</v>
      </c>
      <c r="E29" s="368">
        <v>634</v>
      </c>
      <c r="F29" s="368">
        <v>0</v>
      </c>
      <c r="G29" s="368">
        <v>0</v>
      </c>
      <c r="H29" s="368">
        <v>634</v>
      </c>
      <c r="I29" s="366"/>
      <c r="J29" s="343"/>
      <c r="K29" s="369">
        <v>0</v>
      </c>
      <c r="L29" s="369">
        <v>0</v>
      </c>
      <c r="M29" s="369">
        <v>634</v>
      </c>
      <c r="N29" s="368"/>
      <c r="O29" s="370"/>
      <c r="P29" s="343"/>
      <c r="Q29" s="371" t="s">
        <v>163</v>
      </c>
      <c r="R29" s="372" t="s">
        <v>302</v>
      </c>
      <c r="S29" s="293"/>
      <c r="T29" s="362">
        <v>0</v>
      </c>
      <c r="V29" s="363">
        <v>0</v>
      </c>
      <c r="W29" s="363">
        <v>0</v>
      </c>
      <c r="X29" s="363">
        <v>0</v>
      </c>
      <c r="Y29" s="363">
        <v>0</v>
      </c>
      <c r="Z29" s="363">
        <v>1</v>
      </c>
      <c r="AA29" s="364"/>
      <c r="AB29" s="339"/>
      <c r="AC29" s="339"/>
      <c r="AD29" s="339"/>
      <c r="AG29" s="293" t="e">
        <v>#REF!</v>
      </c>
      <c r="AM29" s="365"/>
      <c r="AN29" s="339"/>
      <c r="AO29" s="339"/>
    </row>
    <row r="30" spans="1:41" ht="19.149999999999999" customHeight="1">
      <c r="A30" s="293"/>
      <c r="B30" s="339">
        <v>22</v>
      </c>
      <c r="C30" s="355" t="s">
        <v>303</v>
      </c>
      <c r="D30" s="339" t="s">
        <v>300</v>
      </c>
      <c r="E30" s="356">
        <v>420</v>
      </c>
      <c r="F30" s="356">
        <v>0</v>
      </c>
      <c r="G30" s="356">
        <v>0</v>
      </c>
      <c r="H30" s="356">
        <v>420</v>
      </c>
      <c r="I30" s="339" t="e">
        <v>#N/A</v>
      </c>
      <c r="J30" s="357"/>
      <c r="K30" s="358">
        <v>0</v>
      </c>
      <c r="L30" s="358">
        <v>0</v>
      </c>
      <c r="M30" s="358">
        <v>420</v>
      </c>
      <c r="N30" s="356"/>
      <c r="O30" s="359" t="s">
        <v>269</v>
      </c>
      <c r="P30" s="357"/>
      <c r="Q30" s="360">
        <v>0.125</v>
      </c>
      <c r="R30" s="361" t="s">
        <v>294</v>
      </c>
      <c r="S30" s="293"/>
      <c r="T30" s="362">
        <v>0</v>
      </c>
      <c r="V30" s="363">
        <v>0</v>
      </c>
      <c r="W30" s="363">
        <v>0</v>
      </c>
      <c r="X30" s="363">
        <v>0</v>
      </c>
      <c r="Y30" s="363">
        <v>0</v>
      </c>
      <c r="Z30" s="363">
        <v>1</v>
      </c>
      <c r="AA30" s="364"/>
      <c r="AB30" s="339"/>
      <c r="AC30" s="339"/>
      <c r="AD30" s="339" t="e">
        <v>#N/A</v>
      </c>
      <c r="AG30" s="293" t="e">
        <v>#REF!</v>
      </c>
      <c r="AI30" s="293" t="e">
        <v>#N/A</v>
      </c>
      <c r="AM30" s="365">
        <v>399</v>
      </c>
      <c r="AN30" s="339"/>
      <c r="AO30" s="339"/>
    </row>
    <row r="31" spans="1:41" s="349" customFormat="1" ht="19.149999999999999" customHeight="1">
      <c r="A31" s="293"/>
      <c r="B31" s="366">
        <v>23</v>
      </c>
      <c r="C31" s="367" t="s">
        <v>304</v>
      </c>
      <c r="D31" s="366" t="s">
        <v>300</v>
      </c>
      <c r="E31" s="368">
        <v>360</v>
      </c>
      <c r="F31" s="368">
        <v>0</v>
      </c>
      <c r="G31" s="368">
        <v>0</v>
      </c>
      <c r="H31" s="368">
        <v>360</v>
      </c>
      <c r="I31" s="340" t="e">
        <v>#N/A</v>
      </c>
      <c r="J31" s="346"/>
      <c r="K31" s="369">
        <v>270</v>
      </c>
      <c r="L31" s="369">
        <v>0</v>
      </c>
      <c r="M31" s="369">
        <v>90</v>
      </c>
      <c r="N31" s="342"/>
      <c r="O31" s="345" t="s">
        <v>269</v>
      </c>
      <c r="P31" s="346"/>
      <c r="Q31" s="371" t="s">
        <v>163</v>
      </c>
      <c r="R31" s="372" t="s">
        <v>305</v>
      </c>
      <c r="T31" s="350">
        <v>0</v>
      </c>
      <c r="V31" s="363">
        <v>0.75</v>
      </c>
      <c r="W31" s="363">
        <v>0</v>
      </c>
      <c r="X31" s="363">
        <v>0</v>
      </c>
      <c r="Y31" s="363">
        <v>0</v>
      </c>
      <c r="Z31" s="363">
        <v>0.25</v>
      </c>
      <c r="AA31" s="352"/>
      <c r="AB31" s="354"/>
      <c r="AC31" s="354"/>
      <c r="AD31" s="354" t="e">
        <v>#N/A</v>
      </c>
      <c r="AG31" s="349" t="e">
        <v>#REF!</v>
      </c>
      <c r="AI31" s="349" t="e">
        <v>#N/A</v>
      </c>
      <c r="AM31" s="353"/>
      <c r="AN31" s="354"/>
      <c r="AO31" s="354"/>
    </row>
    <row r="32" spans="1:41" ht="19.149999999999999" customHeight="1">
      <c r="A32" s="293"/>
      <c r="B32" s="339">
        <v>24</v>
      </c>
      <c r="C32" s="355" t="s">
        <v>306</v>
      </c>
      <c r="D32" s="339" t="s">
        <v>300</v>
      </c>
      <c r="E32" s="356">
        <v>460</v>
      </c>
      <c r="F32" s="356">
        <v>0</v>
      </c>
      <c r="G32" s="356">
        <v>100</v>
      </c>
      <c r="H32" s="356">
        <v>360</v>
      </c>
      <c r="I32" s="339" t="e">
        <v>#N/A</v>
      </c>
      <c r="J32" s="357"/>
      <c r="K32" s="358">
        <v>0</v>
      </c>
      <c r="L32" s="358">
        <v>0</v>
      </c>
      <c r="M32" s="358">
        <v>360</v>
      </c>
      <c r="N32" s="356">
        <v>-2</v>
      </c>
      <c r="O32" s="359" t="s">
        <v>269</v>
      </c>
      <c r="P32" s="357"/>
      <c r="Q32" s="360">
        <v>0.125</v>
      </c>
      <c r="R32" s="361" t="s">
        <v>294</v>
      </c>
      <c r="S32" s="293"/>
      <c r="T32" s="362">
        <v>0</v>
      </c>
      <c r="V32" s="363">
        <v>0</v>
      </c>
      <c r="W32" s="363">
        <v>0</v>
      </c>
      <c r="X32" s="363">
        <v>0</v>
      </c>
      <c r="Y32" s="363">
        <v>0</v>
      </c>
      <c r="Z32" s="363">
        <v>1</v>
      </c>
      <c r="AA32" s="364"/>
      <c r="AB32" s="366"/>
      <c r="AC32" s="366"/>
      <c r="AD32" s="366" t="e">
        <v>#N/A</v>
      </c>
      <c r="AG32" s="293" t="e">
        <v>#REF!</v>
      </c>
      <c r="AI32" s="293" t="e">
        <v>#N/A</v>
      </c>
      <c r="AM32" s="365">
        <v>342</v>
      </c>
      <c r="AN32" s="339"/>
      <c r="AO32" s="339"/>
    </row>
    <row r="33" spans="1:41" ht="19.149999999999999" customHeight="1">
      <c r="A33" s="293"/>
      <c r="B33" s="366">
        <v>25</v>
      </c>
      <c r="C33" s="367" t="s">
        <v>307</v>
      </c>
      <c r="D33" s="366" t="s">
        <v>300</v>
      </c>
      <c r="E33" s="368">
        <v>940</v>
      </c>
      <c r="F33" s="368">
        <v>0</v>
      </c>
      <c r="G33" s="368">
        <v>940</v>
      </c>
      <c r="H33" s="368">
        <v>0</v>
      </c>
      <c r="I33" s="366" t="e">
        <v>#N/A</v>
      </c>
      <c r="J33" s="343" t="s">
        <v>209</v>
      </c>
      <c r="K33" s="369">
        <v>0</v>
      </c>
      <c r="L33" s="369">
        <v>0</v>
      </c>
      <c r="M33" s="369">
        <v>0</v>
      </c>
      <c r="N33" s="368"/>
      <c r="O33" s="370" t="s">
        <v>269</v>
      </c>
      <c r="P33" s="343"/>
      <c r="Q33" s="371" t="s">
        <v>163</v>
      </c>
      <c r="R33" s="372" t="s">
        <v>308</v>
      </c>
      <c r="S33" s="293"/>
      <c r="T33" s="362">
        <v>0</v>
      </c>
      <c r="V33" s="363">
        <v>0</v>
      </c>
      <c r="W33" s="363">
        <v>0</v>
      </c>
      <c r="X33" s="363">
        <v>0</v>
      </c>
      <c r="Y33" s="363">
        <v>0</v>
      </c>
      <c r="Z33" s="363">
        <v>1</v>
      </c>
      <c r="AA33" s="364"/>
      <c r="AB33" s="339"/>
      <c r="AC33" s="339"/>
      <c r="AD33" s="339" t="e">
        <v>#N/A</v>
      </c>
      <c r="AG33" s="293" t="e">
        <v>#REF!</v>
      </c>
      <c r="AM33" s="365"/>
      <c r="AN33" s="339"/>
      <c r="AO33" s="339"/>
    </row>
    <row r="34" spans="1:41" ht="19.149999999999999" customHeight="1">
      <c r="A34" s="293"/>
      <c r="B34" s="339">
        <v>26</v>
      </c>
      <c r="C34" s="355" t="s">
        <v>309</v>
      </c>
      <c r="D34" s="339" t="s">
        <v>160</v>
      </c>
      <c r="E34" s="356">
        <v>1314</v>
      </c>
      <c r="F34" s="356">
        <v>0</v>
      </c>
      <c r="G34" s="356">
        <v>1314</v>
      </c>
      <c r="H34" s="356">
        <v>0</v>
      </c>
      <c r="I34" s="339" t="e">
        <v>#N/A</v>
      </c>
      <c r="J34" s="357"/>
      <c r="K34" s="358">
        <v>0</v>
      </c>
      <c r="L34" s="358">
        <v>0</v>
      </c>
      <c r="M34" s="358">
        <v>0</v>
      </c>
      <c r="N34" s="356" t="s">
        <v>310</v>
      </c>
      <c r="O34" s="359" t="s">
        <v>269</v>
      </c>
      <c r="P34" s="357"/>
      <c r="Q34" s="360" t="s">
        <v>163</v>
      </c>
      <c r="R34" s="361" t="s">
        <v>302</v>
      </c>
      <c r="S34" s="293"/>
      <c r="T34" s="362">
        <v>0</v>
      </c>
      <c r="V34" s="363">
        <v>0.75</v>
      </c>
      <c r="W34" s="363">
        <v>0</v>
      </c>
      <c r="X34" s="363">
        <v>0</v>
      </c>
      <c r="Y34" s="363">
        <v>0</v>
      </c>
      <c r="Z34" s="363">
        <v>0.25</v>
      </c>
      <c r="AA34" s="364"/>
      <c r="AB34" s="339"/>
      <c r="AC34" s="339"/>
      <c r="AD34" s="339" t="e">
        <v>#N/A</v>
      </c>
      <c r="AG34" s="293" t="e">
        <v>#REF!</v>
      </c>
      <c r="AI34" s="293" t="e">
        <v>#N/A</v>
      </c>
      <c r="AM34" s="365"/>
      <c r="AN34" s="339"/>
      <c r="AO34" s="339"/>
    </row>
    <row r="35" spans="1:41" s="349" customFormat="1" ht="19.149999999999999" customHeight="1">
      <c r="A35" s="293"/>
      <c r="B35" s="366">
        <v>27</v>
      </c>
      <c r="C35" s="367" t="s">
        <v>311</v>
      </c>
      <c r="D35" s="366" t="s">
        <v>160</v>
      </c>
      <c r="E35" s="368">
        <v>148</v>
      </c>
      <c r="F35" s="368">
        <v>0</v>
      </c>
      <c r="G35" s="368">
        <v>0</v>
      </c>
      <c r="H35" s="368">
        <v>148</v>
      </c>
      <c r="I35" s="340" t="e">
        <v>#N/A</v>
      </c>
      <c r="J35" s="346"/>
      <c r="K35" s="369">
        <v>0</v>
      </c>
      <c r="L35" s="369">
        <v>0</v>
      </c>
      <c r="M35" s="369">
        <v>148</v>
      </c>
      <c r="N35" s="342"/>
      <c r="O35" s="345" t="s">
        <v>269</v>
      </c>
      <c r="P35" s="346"/>
      <c r="Q35" s="371">
        <v>0.125</v>
      </c>
      <c r="R35" s="372" t="s">
        <v>294</v>
      </c>
      <c r="T35" s="350">
        <v>0</v>
      </c>
      <c r="V35" s="363">
        <v>0</v>
      </c>
      <c r="W35" s="363">
        <v>0</v>
      </c>
      <c r="X35" s="363">
        <v>0</v>
      </c>
      <c r="Y35" s="363">
        <v>0</v>
      </c>
      <c r="Z35" s="363">
        <v>1</v>
      </c>
      <c r="AA35" s="352">
        <v>1</v>
      </c>
      <c r="AB35" s="354"/>
      <c r="AC35" s="354"/>
      <c r="AD35" s="354" t="e">
        <v>#N/A</v>
      </c>
      <c r="AG35" s="349" t="e">
        <v>#REF!</v>
      </c>
      <c r="AI35" s="349" t="e">
        <v>#N/A</v>
      </c>
      <c r="AM35" s="353"/>
      <c r="AN35" s="354"/>
      <c r="AO35" s="354"/>
    </row>
    <row r="36" spans="1:41" ht="19.149999999999999" customHeight="1">
      <c r="A36" s="293"/>
      <c r="B36" s="354">
        <v>28</v>
      </c>
      <c r="C36" s="373" t="s">
        <v>312</v>
      </c>
      <c r="D36" s="354" t="s">
        <v>166</v>
      </c>
      <c r="E36" s="374">
        <v>883</v>
      </c>
      <c r="F36" s="374">
        <v>0</v>
      </c>
      <c r="G36" s="374">
        <v>0</v>
      </c>
      <c r="H36" s="374">
        <v>883</v>
      </c>
      <c r="I36" s="339" t="e">
        <v>#N/A</v>
      </c>
      <c r="J36" s="357"/>
      <c r="K36" s="353">
        <v>0</v>
      </c>
      <c r="L36" s="353">
        <v>0</v>
      </c>
      <c r="M36" s="353">
        <v>883</v>
      </c>
      <c r="N36" s="356"/>
      <c r="O36" s="359" t="s">
        <v>269</v>
      </c>
      <c r="P36" s="357"/>
      <c r="Q36" s="375">
        <v>0.28660000000000002</v>
      </c>
      <c r="R36" s="376" t="s">
        <v>294</v>
      </c>
      <c r="S36" s="293"/>
      <c r="T36" s="362">
        <v>0</v>
      </c>
      <c r="V36" s="351">
        <v>0</v>
      </c>
      <c r="W36" s="351">
        <v>0</v>
      </c>
      <c r="X36" s="351">
        <v>0</v>
      </c>
      <c r="Y36" s="351">
        <v>0</v>
      </c>
      <c r="Z36" s="351">
        <v>1</v>
      </c>
      <c r="AA36" s="364"/>
      <c r="AB36" s="339"/>
      <c r="AC36" s="339"/>
      <c r="AD36" s="339" t="e">
        <v>#N/A</v>
      </c>
      <c r="AG36" s="293" t="e">
        <v>#REF!</v>
      </c>
      <c r="AI36" s="293" t="e">
        <v>#N/A</v>
      </c>
      <c r="AM36" s="365"/>
      <c r="AN36" s="339"/>
      <c r="AO36" s="339"/>
    </row>
    <row r="37" spans="1:41" ht="19.149999999999999" customHeight="1">
      <c r="A37" s="293"/>
      <c r="B37" s="366">
        <v>29</v>
      </c>
      <c r="C37" s="367" t="s">
        <v>313</v>
      </c>
      <c r="D37" s="366" t="s">
        <v>166</v>
      </c>
      <c r="E37" s="368">
        <v>366</v>
      </c>
      <c r="F37" s="368">
        <v>0</v>
      </c>
      <c r="G37" s="368">
        <v>0</v>
      </c>
      <c r="H37" s="368">
        <v>366</v>
      </c>
      <c r="I37" s="366" t="e">
        <v>#N/A</v>
      </c>
      <c r="J37" s="343"/>
      <c r="K37" s="369">
        <v>0</v>
      </c>
      <c r="L37" s="369">
        <v>0</v>
      </c>
      <c r="M37" s="369">
        <v>366</v>
      </c>
      <c r="N37" s="368"/>
      <c r="O37" s="370" t="s">
        <v>269</v>
      </c>
      <c r="P37" s="343"/>
      <c r="Q37" s="371">
        <v>0.2223</v>
      </c>
      <c r="R37" s="372" t="s">
        <v>294</v>
      </c>
      <c r="S37" s="293"/>
      <c r="T37" s="362">
        <v>0</v>
      </c>
      <c r="V37" s="363">
        <v>0</v>
      </c>
      <c r="W37" s="363">
        <v>0</v>
      </c>
      <c r="X37" s="363">
        <v>0</v>
      </c>
      <c r="Y37" s="363">
        <v>0</v>
      </c>
      <c r="Z37" s="363">
        <v>1</v>
      </c>
      <c r="AA37" s="364"/>
      <c r="AB37" s="339"/>
      <c r="AC37" s="339"/>
      <c r="AD37" s="339" t="e">
        <v>#N/A</v>
      </c>
      <c r="AG37" s="293" t="e">
        <v>#REF!</v>
      </c>
      <c r="AM37" s="365"/>
      <c r="AN37" s="339"/>
      <c r="AO37" s="339"/>
    </row>
    <row r="38" spans="1:41" ht="19.149999999999999" customHeight="1">
      <c r="A38" s="293"/>
      <c r="B38" s="339">
        <v>30</v>
      </c>
      <c r="C38" s="355" t="s">
        <v>314</v>
      </c>
      <c r="D38" s="339" t="s">
        <v>166</v>
      </c>
      <c r="E38" s="356">
        <v>250</v>
      </c>
      <c r="F38" s="356">
        <v>0</v>
      </c>
      <c r="G38" s="356">
        <v>0</v>
      </c>
      <c r="H38" s="356">
        <v>250</v>
      </c>
      <c r="I38" s="339" t="e">
        <v>#N/A</v>
      </c>
      <c r="J38" s="357"/>
      <c r="K38" s="358">
        <v>0</v>
      </c>
      <c r="L38" s="358">
        <v>0</v>
      </c>
      <c r="M38" s="358">
        <v>250</v>
      </c>
      <c r="N38" s="356"/>
      <c r="O38" s="359" t="s">
        <v>269</v>
      </c>
      <c r="P38" s="357"/>
      <c r="Q38" s="360" t="s">
        <v>163</v>
      </c>
      <c r="R38" s="361" t="s">
        <v>315</v>
      </c>
      <c r="S38" s="293"/>
      <c r="T38" s="362">
        <v>0</v>
      </c>
      <c r="V38" s="363">
        <v>0</v>
      </c>
      <c r="W38" s="363">
        <v>0</v>
      </c>
      <c r="X38" s="363">
        <v>0</v>
      </c>
      <c r="Y38" s="363">
        <v>0</v>
      </c>
      <c r="Z38" s="363">
        <v>1</v>
      </c>
      <c r="AA38" s="364"/>
      <c r="AB38" s="339"/>
      <c r="AC38" s="339"/>
      <c r="AD38" s="339" t="e">
        <v>#N/A</v>
      </c>
      <c r="AG38" s="293" t="e">
        <v>#REF!</v>
      </c>
      <c r="AI38" s="293" t="e">
        <v>#N/A</v>
      </c>
      <c r="AM38" s="365"/>
      <c r="AN38" s="339"/>
      <c r="AO38" s="339"/>
    </row>
    <row r="39" spans="1:41" ht="19.149999999999999" customHeight="1">
      <c r="A39" s="293"/>
      <c r="B39" s="366">
        <v>31</v>
      </c>
      <c r="C39" s="367" t="s">
        <v>316</v>
      </c>
      <c r="D39" s="366" t="s">
        <v>166</v>
      </c>
      <c r="E39" s="368">
        <v>12070</v>
      </c>
      <c r="F39" s="368">
        <v>0</v>
      </c>
      <c r="G39" s="368">
        <v>0</v>
      </c>
      <c r="H39" s="368">
        <v>200</v>
      </c>
      <c r="I39" s="366" t="e">
        <v>#N/A</v>
      </c>
      <c r="J39" s="343"/>
      <c r="K39" s="369">
        <v>0</v>
      </c>
      <c r="L39" s="369">
        <v>150</v>
      </c>
      <c r="M39" s="369">
        <v>50</v>
      </c>
      <c r="N39" s="368"/>
      <c r="O39" s="370" t="e">
        <v>#N/A</v>
      </c>
      <c r="P39" s="343"/>
      <c r="Q39" s="371" t="s">
        <v>163</v>
      </c>
      <c r="R39" s="372" t="s">
        <v>317</v>
      </c>
      <c r="S39" s="293"/>
      <c r="T39" s="362">
        <v>0</v>
      </c>
      <c r="V39" s="363">
        <v>0</v>
      </c>
      <c r="W39" s="363">
        <v>0.75</v>
      </c>
      <c r="X39" s="363">
        <v>0</v>
      </c>
      <c r="Y39" s="363">
        <v>0</v>
      </c>
      <c r="Z39" s="363">
        <v>0.25</v>
      </c>
      <c r="AA39" s="364"/>
      <c r="AB39" s="339"/>
      <c r="AC39" s="339"/>
      <c r="AD39" s="339" t="e">
        <v>#N/A</v>
      </c>
      <c r="AG39" s="293" t="e">
        <v>#REF!</v>
      </c>
      <c r="AI39" s="293" t="e">
        <v>#N/A</v>
      </c>
      <c r="AM39" s="365"/>
      <c r="AN39" s="339"/>
      <c r="AO39" s="381"/>
    </row>
    <row r="40" spans="1:41" ht="19.149999999999999" customHeight="1">
      <c r="A40" s="293"/>
      <c r="B40" s="339">
        <v>32</v>
      </c>
      <c r="C40" s="355" t="s">
        <v>318</v>
      </c>
      <c r="D40" s="339" t="s">
        <v>166</v>
      </c>
      <c r="E40" s="356">
        <v>138</v>
      </c>
      <c r="F40" s="356">
        <v>0</v>
      </c>
      <c r="G40" s="356">
        <v>0</v>
      </c>
      <c r="H40" s="356">
        <v>138</v>
      </c>
      <c r="I40" s="339" t="e">
        <v>#N/A</v>
      </c>
      <c r="J40" s="357"/>
      <c r="K40" s="358">
        <v>0</v>
      </c>
      <c r="L40" s="358">
        <v>0</v>
      </c>
      <c r="M40" s="358">
        <v>138</v>
      </c>
      <c r="N40" s="356">
        <v>-2</v>
      </c>
      <c r="O40" s="359" t="s">
        <v>269</v>
      </c>
      <c r="P40" s="357"/>
      <c r="Q40" s="360" t="s">
        <v>163</v>
      </c>
      <c r="R40" s="361" t="s">
        <v>282</v>
      </c>
      <c r="S40" s="293"/>
      <c r="T40" s="362">
        <v>0</v>
      </c>
      <c r="V40" s="363">
        <v>0</v>
      </c>
      <c r="W40" s="363">
        <v>0</v>
      </c>
      <c r="X40" s="363">
        <v>0</v>
      </c>
      <c r="Y40" s="363">
        <v>0</v>
      </c>
      <c r="Z40" s="363">
        <v>1</v>
      </c>
      <c r="AA40" s="364"/>
      <c r="AB40" s="339"/>
      <c r="AC40" s="339"/>
      <c r="AD40" s="339" t="e">
        <v>#N/A</v>
      </c>
      <c r="AG40" s="293" t="e">
        <v>#REF!</v>
      </c>
      <c r="AI40" s="293" t="e">
        <v>#N/A</v>
      </c>
      <c r="AM40" s="365"/>
      <c r="AN40" s="339"/>
      <c r="AO40" s="339"/>
    </row>
    <row r="41" spans="1:41" ht="19.149999999999999" customHeight="1">
      <c r="A41" s="293"/>
      <c r="B41" s="366">
        <v>33</v>
      </c>
      <c r="C41" s="367" t="s">
        <v>319</v>
      </c>
      <c r="D41" s="366" t="s">
        <v>166</v>
      </c>
      <c r="E41" s="368">
        <v>787</v>
      </c>
      <c r="F41" s="368">
        <v>0</v>
      </c>
      <c r="G41" s="368">
        <v>787</v>
      </c>
      <c r="H41" s="368">
        <v>0</v>
      </c>
      <c r="I41" s="366" t="e">
        <v>#N/A</v>
      </c>
      <c r="J41" s="343"/>
      <c r="K41" s="369">
        <v>0</v>
      </c>
      <c r="L41" s="369">
        <v>0</v>
      </c>
      <c r="M41" s="369">
        <v>0</v>
      </c>
      <c r="N41" s="368"/>
      <c r="O41" s="370" t="s">
        <v>269</v>
      </c>
      <c r="P41" s="343"/>
      <c r="Q41" s="371" t="s">
        <v>163</v>
      </c>
      <c r="R41" s="372" t="s">
        <v>282</v>
      </c>
      <c r="S41" s="293"/>
      <c r="T41" s="362">
        <v>0</v>
      </c>
      <c r="V41" s="363">
        <v>0</v>
      </c>
      <c r="W41" s="363">
        <v>0</v>
      </c>
      <c r="X41" s="363">
        <v>0</v>
      </c>
      <c r="Y41" s="363">
        <v>0</v>
      </c>
      <c r="Z41" s="363">
        <v>1</v>
      </c>
      <c r="AA41" s="364"/>
      <c r="AB41" s="339"/>
      <c r="AC41" s="339"/>
      <c r="AD41" s="339" t="e">
        <v>#N/A</v>
      </c>
      <c r="AG41" s="293" t="e">
        <v>#REF!</v>
      </c>
      <c r="AI41" s="293" t="e">
        <v>#N/A</v>
      </c>
      <c r="AM41" s="365"/>
      <c r="AN41" s="339"/>
      <c r="AO41" s="339"/>
    </row>
    <row r="42" spans="1:41" ht="19.149999999999999" customHeight="1">
      <c r="A42" s="293"/>
      <c r="B42" s="339">
        <v>34</v>
      </c>
      <c r="C42" s="355" t="s">
        <v>320</v>
      </c>
      <c r="D42" s="339" t="s">
        <v>177</v>
      </c>
      <c r="E42" s="356">
        <v>168</v>
      </c>
      <c r="F42" s="356">
        <v>0</v>
      </c>
      <c r="G42" s="356">
        <v>15</v>
      </c>
      <c r="H42" s="356">
        <v>153</v>
      </c>
      <c r="I42" s="339" t="e">
        <v>#N/A</v>
      </c>
      <c r="J42" s="357"/>
      <c r="K42" s="358">
        <v>0</v>
      </c>
      <c r="L42" s="358">
        <v>0</v>
      </c>
      <c r="M42" s="358">
        <v>153</v>
      </c>
      <c r="N42" s="356"/>
      <c r="O42" s="359" t="s">
        <v>269</v>
      </c>
      <c r="P42" s="357"/>
      <c r="Q42" s="360" t="s">
        <v>163</v>
      </c>
      <c r="R42" s="361" t="s">
        <v>282</v>
      </c>
      <c r="S42" s="293"/>
      <c r="T42" s="362">
        <v>0</v>
      </c>
      <c r="V42" s="363">
        <v>0</v>
      </c>
      <c r="W42" s="363">
        <v>0</v>
      </c>
      <c r="X42" s="363">
        <v>0</v>
      </c>
      <c r="Y42" s="363">
        <v>0</v>
      </c>
      <c r="Z42" s="363">
        <v>1</v>
      </c>
      <c r="AA42" s="364"/>
      <c r="AB42" s="339"/>
      <c r="AC42" s="339"/>
      <c r="AD42" s="339" t="e">
        <v>#N/A</v>
      </c>
      <c r="AG42" s="293" t="e">
        <v>#REF!</v>
      </c>
      <c r="AI42" s="293" t="e">
        <v>#N/A</v>
      </c>
      <c r="AM42" s="365"/>
      <c r="AN42" s="339"/>
      <c r="AO42" s="339"/>
    </row>
    <row r="43" spans="1:41" ht="19.149999999999999" customHeight="1">
      <c r="A43" s="293"/>
      <c r="B43" s="366">
        <v>35</v>
      </c>
      <c r="C43" s="367" t="s">
        <v>321</v>
      </c>
      <c r="D43" s="366" t="s">
        <v>177</v>
      </c>
      <c r="E43" s="368">
        <v>963</v>
      </c>
      <c r="F43" s="368">
        <v>276</v>
      </c>
      <c r="G43" s="368">
        <v>687</v>
      </c>
      <c r="H43" s="368">
        <v>0</v>
      </c>
      <c r="I43" s="366" t="e">
        <v>#N/A</v>
      </c>
      <c r="J43" s="343"/>
      <c r="K43" s="369">
        <v>0</v>
      </c>
      <c r="L43" s="369">
        <v>0</v>
      </c>
      <c r="M43" s="369">
        <v>0</v>
      </c>
      <c r="N43" s="368"/>
      <c r="O43" s="370" t="e">
        <v>#N/A</v>
      </c>
      <c r="P43" s="343"/>
      <c r="Q43" s="371" t="s">
        <v>163</v>
      </c>
      <c r="R43" s="372" t="s">
        <v>282</v>
      </c>
      <c r="S43" s="293"/>
      <c r="T43" s="362">
        <v>0</v>
      </c>
      <c r="V43" s="363">
        <v>0</v>
      </c>
      <c r="W43" s="363">
        <v>0</v>
      </c>
      <c r="X43" s="363">
        <v>0</v>
      </c>
      <c r="Y43" s="363">
        <v>0</v>
      </c>
      <c r="Z43" s="363">
        <v>1</v>
      </c>
      <c r="AA43" s="364"/>
      <c r="AB43" s="339"/>
      <c r="AC43" s="339"/>
      <c r="AD43" s="339" t="e">
        <v>#N/A</v>
      </c>
      <c r="AG43" s="293" t="e">
        <v>#REF!</v>
      </c>
      <c r="AI43" s="293" t="e">
        <v>#N/A</v>
      </c>
      <c r="AM43" s="365"/>
      <c r="AN43" s="339"/>
      <c r="AO43" s="339"/>
    </row>
    <row r="44" spans="1:41" ht="19.149999999999999" customHeight="1">
      <c r="A44" s="293"/>
      <c r="B44" s="339">
        <v>36</v>
      </c>
      <c r="C44" s="355" t="s">
        <v>322</v>
      </c>
      <c r="D44" s="339" t="s">
        <v>323</v>
      </c>
      <c r="E44" s="356">
        <v>598</v>
      </c>
      <c r="F44" s="356">
        <v>0</v>
      </c>
      <c r="G44" s="356">
        <v>598</v>
      </c>
      <c r="H44" s="356">
        <v>0</v>
      </c>
      <c r="I44" s="339" t="e">
        <v>#N/A</v>
      </c>
      <c r="J44" s="357"/>
      <c r="K44" s="358">
        <v>0</v>
      </c>
      <c r="L44" s="358">
        <v>0</v>
      </c>
      <c r="M44" s="358">
        <v>0</v>
      </c>
      <c r="N44" s="356"/>
      <c r="O44" s="359" t="e">
        <v>#N/A</v>
      </c>
      <c r="P44" s="357"/>
      <c r="Q44" s="360" t="s">
        <v>163</v>
      </c>
      <c r="R44" s="361" t="s">
        <v>302</v>
      </c>
      <c r="S44" s="293"/>
      <c r="T44" s="362">
        <v>0</v>
      </c>
      <c r="V44" s="363">
        <v>0</v>
      </c>
      <c r="W44" s="363">
        <v>0</v>
      </c>
      <c r="X44" s="363">
        <v>0</v>
      </c>
      <c r="Y44" s="363">
        <v>0</v>
      </c>
      <c r="Z44" s="363">
        <v>1</v>
      </c>
      <c r="AA44" s="364"/>
      <c r="AB44" s="339"/>
      <c r="AC44" s="339"/>
      <c r="AD44" s="339" t="e">
        <v>#N/A</v>
      </c>
      <c r="AG44" s="293" t="e">
        <v>#REF!</v>
      </c>
      <c r="AI44" s="293" t="e">
        <v>#N/A</v>
      </c>
      <c r="AM44" s="382" t="s">
        <v>305</v>
      </c>
      <c r="AN44" s="339"/>
      <c r="AO44" s="339"/>
    </row>
    <row r="45" spans="1:41" s="349" customFormat="1" ht="19.149999999999999" customHeight="1">
      <c r="B45" s="366">
        <v>37</v>
      </c>
      <c r="C45" s="367" t="s">
        <v>324</v>
      </c>
      <c r="D45" s="366" t="s">
        <v>177</v>
      </c>
      <c r="E45" s="368">
        <v>183</v>
      </c>
      <c r="F45" s="368">
        <v>0</v>
      </c>
      <c r="G45" s="368">
        <v>183</v>
      </c>
      <c r="H45" s="368">
        <v>0</v>
      </c>
      <c r="I45" s="340" t="e">
        <v>#N/A</v>
      </c>
      <c r="J45" s="346"/>
      <c r="K45" s="369">
        <v>0</v>
      </c>
      <c r="L45" s="369">
        <v>0</v>
      </c>
      <c r="M45" s="369">
        <v>0</v>
      </c>
      <c r="N45" s="342"/>
      <c r="O45" s="345" t="e">
        <v>#N/A</v>
      </c>
      <c r="P45" s="346"/>
      <c r="Q45" s="371" t="s">
        <v>173</v>
      </c>
      <c r="R45" s="372" t="s">
        <v>294</v>
      </c>
      <c r="T45" s="350">
        <v>0</v>
      </c>
      <c r="V45" s="363">
        <v>0</v>
      </c>
      <c r="W45" s="363">
        <v>0</v>
      </c>
      <c r="X45" s="363">
        <v>0</v>
      </c>
      <c r="Y45" s="363">
        <v>0</v>
      </c>
      <c r="Z45" s="363">
        <v>1</v>
      </c>
      <c r="AA45" s="352"/>
      <c r="AB45" s="354"/>
      <c r="AC45" s="354"/>
      <c r="AD45" s="354" t="e">
        <v>#N/A</v>
      </c>
      <c r="AG45" s="349" t="e">
        <v>#REF!</v>
      </c>
      <c r="AI45" s="349" t="e">
        <v>#N/A</v>
      </c>
      <c r="AM45" s="353"/>
      <c r="AN45" s="354"/>
      <c r="AO45" s="354"/>
    </row>
    <row r="46" spans="1:41" ht="19.149999999999999" customHeight="1">
      <c r="A46" s="293"/>
      <c r="B46" s="354">
        <v>38</v>
      </c>
      <c r="C46" s="373" t="s">
        <v>325</v>
      </c>
      <c r="D46" s="354" t="s">
        <v>172</v>
      </c>
      <c r="E46" s="374">
        <v>12994</v>
      </c>
      <c r="F46" s="374">
        <v>1906</v>
      </c>
      <c r="G46" s="374">
        <v>2688</v>
      </c>
      <c r="H46" s="374">
        <v>1500</v>
      </c>
      <c r="I46" s="339">
        <v>0</v>
      </c>
      <c r="J46" s="357"/>
      <c r="K46" s="353">
        <v>0</v>
      </c>
      <c r="L46" s="353">
        <v>750</v>
      </c>
      <c r="M46" s="353">
        <v>750</v>
      </c>
      <c r="N46" s="356"/>
      <c r="O46" s="359" t="s">
        <v>269</v>
      </c>
      <c r="P46" s="357"/>
      <c r="Q46" s="375" t="s">
        <v>163</v>
      </c>
      <c r="R46" s="376" t="s">
        <v>326</v>
      </c>
      <c r="S46" s="293"/>
      <c r="T46" s="362">
        <v>0</v>
      </c>
      <c r="V46" s="351">
        <v>0</v>
      </c>
      <c r="W46" s="351">
        <v>0.5</v>
      </c>
      <c r="X46" s="351">
        <v>0</v>
      </c>
      <c r="Y46" s="351">
        <v>0</v>
      </c>
      <c r="Z46" s="351">
        <v>0.5</v>
      </c>
      <c r="AA46" s="364">
        <v>1</v>
      </c>
      <c r="AB46" s="339"/>
      <c r="AC46" s="339"/>
      <c r="AD46" s="339" t="s">
        <v>327</v>
      </c>
      <c r="AG46" s="293" t="e">
        <v>#REF!</v>
      </c>
      <c r="AI46" s="293" t="s">
        <v>325</v>
      </c>
      <c r="AM46" s="365"/>
      <c r="AN46" s="339"/>
      <c r="AO46" s="339"/>
    </row>
    <row r="47" spans="1:41" ht="19.149999999999999" customHeight="1">
      <c r="A47" s="293"/>
      <c r="B47" s="383"/>
      <c r="C47" s="384"/>
      <c r="D47" s="383"/>
      <c r="E47" s="385"/>
      <c r="F47" s="385"/>
      <c r="G47" s="385"/>
      <c r="H47" s="385"/>
      <c r="I47" s="383"/>
      <c r="J47" s="383"/>
      <c r="K47" s="386"/>
      <c r="L47" s="386"/>
      <c r="M47" s="386"/>
      <c r="N47" s="385"/>
      <c r="O47" s="383"/>
      <c r="P47" s="383"/>
      <c r="Q47" s="387"/>
      <c r="R47" s="388"/>
      <c r="S47" s="293"/>
      <c r="T47" s="362"/>
      <c r="V47" s="389"/>
      <c r="W47" s="389"/>
      <c r="X47" s="389"/>
      <c r="Y47" s="389"/>
      <c r="Z47" s="389"/>
      <c r="AA47" s="364"/>
      <c r="AB47" s="383"/>
      <c r="AC47" s="383"/>
      <c r="AD47" s="383"/>
      <c r="AM47" s="386"/>
      <c r="AN47" s="383"/>
      <c r="AO47" s="383"/>
    </row>
    <row r="48" spans="1:41" ht="19.149999999999999" customHeight="1">
      <c r="A48" s="293"/>
      <c r="B48" s="383"/>
      <c r="C48" s="384"/>
      <c r="D48" s="383"/>
      <c r="E48" s="385"/>
      <c r="F48" s="385"/>
      <c r="G48" s="385"/>
      <c r="H48" s="385"/>
      <c r="I48" s="383"/>
      <c r="J48" s="383"/>
      <c r="K48" s="386"/>
      <c r="L48" s="386"/>
      <c r="M48" s="386"/>
      <c r="N48" s="385"/>
      <c r="O48" s="383"/>
      <c r="P48" s="383"/>
      <c r="Q48" s="387"/>
      <c r="R48" s="388"/>
      <c r="S48" s="293"/>
      <c r="T48" s="362"/>
      <c r="V48" s="389"/>
      <c r="W48" s="389"/>
      <c r="X48" s="389"/>
      <c r="Y48" s="389"/>
      <c r="Z48" s="389"/>
      <c r="AA48" s="364"/>
      <c r="AB48" s="383"/>
      <c r="AC48" s="383"/>
      <c r="AD48" s="383"/>
      <c r="AM48" s="386"/>
      <c r="AN48" s="383"/>
      <c r="AO48" s="383"/>
    </row>
    <row r="49" spans="1:41" ht="19.149999999999999" customHeight="1">
      <c r="A49" s="293"/>
      <c r="B49" s="383"/>
      <c r="C49" s="384"/>
      <c r="D49" s="383"/>
      <c r="E49" s="385"/>
      <c r="F49" s="385"/>
      <c r="G49" s="385"/>
      <c r="H49" s="385"/>
      <c r="I49" s="383"/>
      <c r="J49" s="383"/>
      <c r="K49" s="386"/>
      <c r="L49" s="386"/>
      <c r="M49" s="386"/>
      <c r="N49" s="385"/>
      <c r="O49" s="383"/>
      <c r="P49" s="383"/>
      <c r="Q49" s="387"/>
      <c r="R49" s="388"/>
      <c r="S49" s="293"/>
      <c r="T49" s="362"/>
      <c r="V49" s="389"/>
      <c r="W49" s="389"/>
      <c r="X49" s="389"/>
      <c r="Y49" s="389"/>
      <c r="Z49" s="389"/>
      <c r="AA49" s="364"/>
      <c r="AB49" s="383"/>
      <c r="AC49" s="383"/>
      <c r="AD49" s="383"/>
      <c r="AM49" s="386"/>
      <c r="AN49" s="383"/>
      <c r="AO49" s="383"/>
    </row>
    <row r="50" spans="1:41" ht="19.149999999999999" customHeight="1">
      <c r="A50" s="293"/>
      <c r="B50" s="383"/>
      <c r="C50" s="384"/>
      <c r="D50" s="383"/>
      <c r="E50" s="385"/>
      <c r="F50" s="385"/>
      <c r="G50" s="385"/>
      <c r="H50" s="385"/>
      <c r="I50" s="383"/>
      <c r="J50" s="383"/>
      <c r="K50" s="386"/>
      <c r="L50" s="386"/>
      <c r="M50" s="386"/>
      <c r="N50" s="385"/>
      <c r="O50" s="383"/>
      <c r="P50" s="383"/>
      <c r="Q50" s="387"/>
      <c r="R50" s="388"/>
      <c r="S50" s="293"/>
      <c r="T50" s="362"/>
      <c r="V50" s="389"/>
      <c r="W50" s="389"/>
      <c r="X50" s="389"/>
      <c r="Y50" s="389"/>
      <c r="Z50" s="389"/>
      <c r="AA50" s="364"/>
      <c r="AB50" s="383"/>
      <c r="AC50" s="383"/>
      <c r="AD50" s="383"/>
      <c r="AM50" s="386"/>
      <c r="AN50" s="383"/>
      <c r="AO50" s="383"/>
    </row>
    <row r="51" spans="1:41" ht="21" customHeight="1">
      <c r="B51" s="390" t="s">
        <v>328</v>
      </c>
      <c r="C51" s="391"/>
      <c r="D51" s="392"/>
      <c r="E51" s="393"/>
      <c r="F51" s="393"/>
      <c r="G51" s="393"/>
      <c r="H51" s="393"/>
      <c r="I51" s="393"/>
      <c r="J51" s="393"/>
      <c r="K51" s="393"/>
      <c r="L51" s="394"/>
      <c r="M51" s="393"/>
      <c r="N51" s="392"/>
      <c r="O51" s="393"/>
      <c r="P51" s="393"/>
      <c r="Q51" s="395"/>
      <c r="R51" s="393"/>
      <c r="S51" s="293"/>
      <c r="T51" s="396"/>
      <c r="V51" s="329"/>
      <c r="W51" s="329"/>
      <c r="X51" s="329"/>
      <c r="Y51" s="329"/>
      <c r="Z51" s="329"/>
      <c r="AB51" s="392"/>
      <c r="AC51" s="392"/>
      <c r="AD51" s="392"/>
      <c r="AM51" s="396"/>
      <c r="AN51" s="396"/>
      <c r="AO51" s="396"/>
    </row>
    <row r="52" spans="1:41" ht="20.45" customHeight="1">
      <c r="B52" s="397" t="s">
        <v>329</v>
      </c>
      <c r="C52" s="391"/>
      <c r="K52" s="337"/>
      <c r="L52" s="337"/>
      <c r="S52" s="293"/>
    </row>
    <row r="53" spans="1:41" ht="20.45" customHeight="1">
      <c r="B53" s="398" t="s">
        <v>330</v>
      </c>
      <c r="C53" s="391"/>
      <c r="S53" s="293"/>
    </row>
    <row r="54" spans="1:41" ht="20.45" customHeight="1">
      <c r="B54" s="390" t="s">
        <v>331</v>
      </c>
      <c r="C54" s="391"/>
      <c r="S54" s="293"/>
    </row>
    <row r="55" spans="1:41" ht="19.149999999999999" customHeight="1">
      <c r="A55" s="293"/>
      <c r="B55" s="366">
        <v>39</v>
      </c>
      <c r="C55" s="367" t="s">
        <v>332</v>
      </c>
      <c r="D55" s="366" t="s">
        <v>172</v>
      </c>
      <c r="E55" s="368">
        <v>524</v>
      </c>
      <c r="F55" s="368">
        <v>0</v>
      </c>
      <c r="G55" s="368">
        <v>0</v>
      </c>
      <c r="H55" s="368">
        <v>524</v>
      </c>
      <c r="I55" s="366" t="e">
        <v>#N/A</v>
      </c>
      <c r="J55" s="343"/>
      <c r="K55" s="369">
        <v>0</v>
      </c>
      <c r="L55" s="369">
        <v>0</v>
      </c>
      <c r="M55" s="369">
        <v>524</v>
      </c>
      <c r="N55" s="368"/>
      <c r="O55" s="370" t="e">
        <v>#N/A</v>
      </c>
      <c r="P55" s="343"/>
      <c r="Q55" s="371" t="s">
        <v>163</v>
      </c>
      <c r="R55" s="372" t="s">
        <v>282</v>
      </c>
      <c r="S55" s="293"/>
      <c r="T55" s="362">
        <v>0</v>
      </c>
      <c r="V55" s="363">
        <v>0</v>
      </c>
      <c r="W55" s="363">
        <v>0</v>
      </c>
      <c r="X55" s="363">
        <v>0</v>
      </c>
      <c r="Y55" s="363">
        <v>0</v>
      </c>
      <c r="Z55" s="363">
        <v>1</v>
      </c>
      <c r="AA55" s="364"/>
      <c r="AB55" s="339"/>
      <c r="AC55" s="339"/>
      <c r="AD55" s="339" t="e">
        <v>#N/A</v>
      </c>
      <c r="AG55" s="293" t="e">
        <v>#REF!</v>
      </c>
      <c r="AI55" s="293" t="e">
        <v>#N/A</v>
      </c>
      <c r="AM55" s="365"/>
      <c r="AN55" s="339"/>
      <c r="AO55" s="339"/>
    </row>
    <row r="56" spans="1:41" ht="19.149999999999999" customHeight="1">
      <c r="A56" s="293"/>
      <c r="B56" s="339">
        <v>40</v>
      </c>
      <c r="C56" s="355" t="s">
        <v>333</v>
      </c>
      <c r="D56" s="339" t="s">
        <v>172</v>
      </c>
      <c r="E56" s="356">
        <v>326</v>
      </c>
      <c r="F56" s="356">
        <v>0</v>
      </c>
      <c r="G56" s="356">
        <v>0</v>
      </c>
      <c r="H56" s="356">
        <v>326</v>
      </c>
      <c r="I56" s="339" t="e">
        <v>#N/A</v>
      </c>
      <c r="J56" s="357"/>
      <c r="K56" s="358">
        <v>0</v>
      </c>
      <c r="L56" s="358">
        <v>0</v>
      </c>
      <c r="M56" s="358">
        <v>326</v>
      </c>
      <c r="N56" s="356"/>
      <c r="O56" s="359" t="e">
        <v>#N/A</v>
      </c>
      <c r="P56" s="357"/>
      <c r="Q56" s="360" t="s">
        <v>163</v>
      </c>
      <c r="R56" s="361" t="s">
        <v>334</v>
      </c>
      <c r="S56" s="293"/>
      <c r="T56" s="362">
        <v>0</v>
      </c>
      <c r="V56" s="363">
        <v>0</v>
      </c>
      <c r="W56" s="363">
        <v>0</v>
      </c>
      <c r="X56" s="363">
        <v>0</v>
      </c>
      <c r="Y56" s="363">
        <v>0</v>
      </c>
      <c r="Z56" s="363">
        <v>1</v>
      </c>
      <c r="AA56" s="364"/>
      <c r="AB56" s="339"/>
      <c r="AC56" s="339"/>
      <c r="AD56" s="339" t="e">
        <v>#N/A</v>
      </c>
      <c r="AG56" s="293" t="e">
        <v>#REF!</v>
      </c>
      <c r="AI56" s="293" t="e">
        <v>#N/A</v>
      </c>
      <c r="AM56" s="365"/>
      <c r="AN56" s="339"/>
      <c r="AO56" s="339"/>
    </row>
    <row r="57" spans="1:41" ht="19.149999999999999" customHeight="1">
      <c r="A57" s="293"/>
      <c r="B57" s="366">
        <v>41</v>
      </c>
      <c r="C57" s="367" t="s">
        <v>171</v>
      </c>
      <c r="D57" s="366" t="s">
        <v>172</v>
      </c>
      <c r="E57" s="368">
        <v>391</v>
      </c>
      <c r="F57" s="368">
        <v>0</v>
      </c>
      <c r="G57" s="368">
        <v>391</v>
      </c>
      <c r="H57" s="368">
        <v>0</v>
      </c>
      <c r="I57" s="366" t="e">
        <v>#N/A</v>
      </c>
      <c r="J57" s="343" t="s">
        <v>209</v>
      </c>
      <c r="K57" s="399">
        <v>0</v>
      </c>
      <c r="L57" s="399">
        <v>0</v>
      </c>
      <c r="M57" s="399">
        <v>0</v>
      </c>
      <c r="N57" s="368"/>
      <c r="O57" s="370" t="e">
        <v>#N/A</v>
      </c>
      <c r="P57" s="343"/>
      <c r="Q57" s="371" t="s">
        <v>173</v>
      </c>
      <c r="R57" s="372" t="s">
        <v>335</v>
      </c>
      <c r="S57" s="293"/>
      <c r="T57" s="362">
        <v>0</v>
      </c>
      <c r="V57" s="363">
        <v>0</v>
      </c>
      <c r="W57" s="363">
        <v>0</v>
      </c>
      <c r="X57" s="363">
        <v>0</v>
      </c>
      <c r="Y57" s="363">
        <v>0</v>
      </c>
      <c r="Z57" s="363">
        <v>1</v>
      </c>
      <c r="AA57" s="364"/>
      <c r="AB57" s="339"/>
      <c r="AC57" s="339"/>
      <c r="AD57" s="339" t="e">
        <v>#N/A</v>
      </c>
      <c r="AG57" s="293" t="e">
        <v>#REF!</v>
      </c>
      <c r="AI57" s="293" t="e">
        <v>#N/A</v>
      </c>
      <c r="AM57" s="365"/>
      <c r="AN57" s="339"/>
      <c r="AO57" s="339"/>
    </row>
    <row r="58" spans="1:41" ht="19.149999999999999" customHeight="1">
      <c r="A58" s="293"/>
      <c r="B58" s="339">
        <v>42</v>
      </c>
      <c r="C58" s="355" t="s">
        <v>336</v>
      </c>
      <c r="D58" s="339" t="s">
        <v>323</v>
      </c>
      <c r="E58" s="356">
        <v>314</v>
      </c>
      <c r="F58" s="356">
        <v>0</v>
      </c>
      <c r="G58" s="356">
        <v>157</v>
      </c>
      <c r="H58" s="356">
        <v>157</v>
      </c>
      <c r="I58" s="339" t="e">
        <v>#N/A</v>
      </c>
      <c r="J58" s="357"/>
      <c r="K58" s="365">
        <v>149.15</v>
      </c>
      <c r="L58" s="365">
        <v>0</v>
      </c>
      <c r="M58" s="365">
        <v>7.8499999999999943</v>
      </c>
      <c r="N58" s="356"/>
      <c r="O58" s="359" t="e">
        <v>#N/A</v>
      </c>
      <c r="P58" s="357"/>
      <c r="Q58" s="360" t="s">
        <v>163</v>
      </c>
      <c r="R58" s="361" t="s">
        <v>272</v>
      </c>
      <c r="S58" s="293"/>
      <c r="T58" s="362">
        <v>0</v>
      </c>
      <c r="V58" s="363">
        <v>0.95</v>
      </c>
      <c r="W58" s="363">
        <v>0</v>
      </c>
      <c r="X58" s="363">
        <v>0</v>
      </c>
      <c r="Y58" s="363">
        <v>0</v>
      </c>
      <c r="Z58" s="363">
        <v>0.05</v>
      </c>
      <c r="AA58" s="364"/>
      <c r="AB58" s="339"/>
      <c r="AC58" s="339"/>
      <c r="AD58" s="339" t="e">
        <v>#N/A</v>
      </c>
      <c r="AG58" s="293" t="e">
        <v>#REF!</v>
      </c>
      <c r="AI58" s="293" t="e">
        <v>#N/A</v>
      </c>
      <c r="AM58" s="365"/>
      <c r="AN58" s="339"/>
      <c r="AO58" s="339"/>
    </row>
    <row r="59" spans="1:41" ht="19.149999999999999" customHeight="1">
      <c r="A59" s="293"/>
      <c r="B59" s="366">
        <v>43</v>
      </c>
      <c r="C59" s="367" t="s">
        <v>337</v>
      </c>
      <c r="D59" s="366" t="s">
        <v>323</v>
      </c>
      <c r="E59" s="368">
        <v>1697</v>
      </c>
      <c r="F59" s="368">
        <v>0</v>
      </c>
      <c r="G59" s="368">
        <v>0</v>
      </c>
      <c r="H59" s="368">
        <v>102</v>
      </c>
      <c r="I59" s="366" t="e">
        <v>#N/A</v>
      </c>
      <c r="J59" s="343"/>
      <c r="K59" s="399">
        <v>9.015910430170889</v>
      </c>
      <c r="L59" s="399">
        <v>87.884089569829101</v>
      </c>
      <c r="M59" s="399">
        <v>5.1000000000000085</v>
      </c>
      <c r="N59" s="368"/>
      <c r="O59" s="370" t="e">
        <v>#N/A</v>
      </c>
      <c r="P59" s="343"/>
      <c r="Q59" s="371" t="s">
        <v>163</v>
      </c>
      <c r="R59" s="372" t="s">
        <v>272</v>
      </c>
      <c r="S59" s="293"/>
      <c r="T59" s="362">
        <v>0</v>
      </c>
      <c r="V59" s="363">
        <v>8.8391278727165581E-2</v>
      </c>
      <c r="W59" s="363">
        <v>0.86160872127283439</v>
      </c>
      <c r="X59" s="363">
        <v>0</v>
      </c>
      <c r="Y59" s="363">
        <v>0</v>
      </c>
      <c r="Z59" s="363">
        <v>0.05</v>
      </c>
      <c r="AA59" s="364"/>
      <c r="AB59" s="339"/>
      <c r="AC59" s="339"/>
      <c r="AD59" s="339" t="e">
        <v>#N/A</v>
      </c>
      <c r="AG59" s="293" t="e">
        <v>#REF!</v>
      </c>
      <c r="AI59" s="293" t="e">
        <v>#N/A</v>
      </c>
      <c r="AM59" s="365"/>
      <c r="AN59" s="339"/>
      <c r="AO59" s="339"/>
    </row>
    <row r="60" spans="1:41" ht="19.149999999999999" customHeight="1">
      <c r="A60" s="293"/>
      <c r="B60" s="339">
        <v>44</v>
      </c>
      <c r="C60" s="355" t="s">
        <v>338</v>
      </c>
      <c r="D60" s="339" t="s">
        <v>323</v>
      </c>
      <c r="E60" s="356">
        <v>999</v>
      </c>
      <c r="F60" s="356">
        <v>33</v>
      </c>
      <c r="G60" s="356">
        <v>966</v>
      </c>
      <c r="H60" s="356">
        <v>0</v>
      </c>
      <c r="I60" s="339" t="e">
        <v>#N/A</v>
      </c>
      <c r="J60" s="357" t="s">
        <v>209</v>
      </c>
      <c r="K60" s="365">
        <v>0</v>
      </c>
      <c r="L60" s="365">
        <v>0</v>
      </c>
      <c r="M60" s="365">
        <v>0</v>
      </c>
      <c r="N60" s="356"/>
      <c r="O60" s="359" t="e">
        <v>#N/A</v>
      </c>
      <c r="P60" s="357"/>
      <c r="Q60" s="360" t="s">
        <v>163</v>
      </c>
      <c r="R60" s="361" t="s">
        <v>275</v>
      </c>
      <c r="S60" s="293"/>
      <c r="T60" s="362">
        <v>0</v>
      </c>
      <c r="V60" s="363">
        <v>0.95</v>
      </c>
      <c r="W60" s="363">
        <v>0</v>
      </c>
      <c r="X60" s="363">
        <v>0</v>
      </c>
      <c r="Y60" s="363">
        <v>0</v>
      </c>
      <c r="Z60" s="363">
        <v>0.05</v>
      </c>
      <c r="AA60" s="364"/>
      <c r="AB60" s="339"/>
      <c r="AC60" s="339"/>
      <c r="AD60" s="339" t="e">
        <v>#N/A</v>
      </c>
      <c r="AG60" s="293" t="e">
        <v>#REF!</v>
      </c>
      <c r="AI60" s="293" t="e">
        <v>#N/A</v>
      </c>
      <c r="AM60" s="365"/>
      <c r="AN60" s="339"/>
      <c r="AO60" s="339"/>
    </row>
    <row r="61" spans="1:41" ht="19.149999999999999" customHeight="1">
      <c r="A61" s="293"/>
      <c r="B61" s="366">
        <v>45</v>
      </c>
      <c r="C61" s="367" t="s">
        <v>339</v>
      </c>
      <c r="D61" s="366" t="s">
        <v>323</v>
      </c>
      <c r="E61" s="368">
        <v>1593</v>
      </c>
      <c r="F61" s="368">
        <v>0</v>
      </c>
      <c r="G61" s="368">
        <v>174</v>
      </c>
      <c r="H61" s="368">
        <v>1419</v>
      </c>
      <c r="I61" s="366" t="e">
        <v>#N/A</v>
      </c>
      <c r="J61" s="343"/>
      <c r="K61" s="399">
        <v>267.23163841807911</v>
      </c>
      <c r="L61" s="399">
        <v>1080.818361581921</v>
      </c>
      <c r="M61" s="399">
        <v>70.949999999999818</v>
      </c>
      <c r="N61" s="368"/>
      <c r="O61" s="370" t="e">
        <v>#N/A</v>
      </c>
      <c r="P61" s="343"/>
      <c r="Q61" s="371" t="s">
        <v>163</v>
      </c>
      <c r="R61" s="372" t="s">
        <v>275</v>
      </c>
      <c r="S61" s="293"/>
      <c r="T61" s="362">
        <v>0</v>
      </c>
      <c r="V61" s="363">
        <v>0.18832391713747645</v>
      </c>
      <c r="W61" s="363">
        <v>0.76167608286252353</v>
      </c>
      <c r="X61" s="363">
        <v>0</v>
      </c>
      <c r="Y61" s="363">
        <v>0</v>
      </c>
      <c r="Z61" s="363">
        <v>0.05</v>
      </c>
      <c r="AA61" s="364"/>
      <c r="AB61" s="339"/>
      <c r="AC61" s="339"/>
      <c r="AD61" s="339" t="e">
        <v>#N/A</v>
      </c>
      <c r="AG61" s="293" t="e">
        <v>#REF!</v>
      </c>
      <c r="AI61" s="293" t="e">
        <v>#N/A</v>
      </c>
      <c r="AM61" s="365"/>
      <c r="AN61" s="339"/>
      <c r="AO61" s="339"/>
    </row>
    <row r="62" spans="1:41" ht="19.149999999999999" customHeight="1">
      <c r="A62" s="293"/>
      <c r="B62" s="339">
        <v>46</v>
      </c>
      <c r="C62" s="355" t="s">
        <v>340</v>
      </c>
      <c r="D62" s="339" t="s">
        <v>323</v>
      </c>
      <c r="E62" s="356">
        <v>645</v>
      </c>
      <c r="F62" s="356">
        <v>0</v>
      </c>
      <c r="G62" s="356">
        <v>50</v>
      </c>
      <c r="H62" s="356">
        <v>595</v>
      </c>
      <c r="I62" s="339" t="e">
        <v>#N/A</v>
      </c>
      <c r="J62" s="357"/>
      <c r="K62" s="365">
        <v>0</v>
      </c>
      <c r="L62" s="365">
        <v>565.25</v>
      </c>
      <c r="M62" s="365">
        <v>29.75</v>
      </c>
      <c r="N62" s="356"/>
      <c r="O62" s="359" t="e">
        <v>#N/A</v>
      </c>
      <c r="P62" s="357"/>
      <c r="Q62" s="360" t="s">
        <v>163</v>
      </c>
      <c r="R62" s="361" t="s">
        <v>275</v>
      </c>
      <c r="S62" s="293"/>
      <c r="T62" s="362">
        <v>0</v>
      </c>
      <c r="V62" s="363">
        <v>0</v>
      </c>
      <c r="W62" s="363">
        <v>0.95</v>
      </c>
      <c r="X62" s="363">
        <v>0</v>
      </c>
      <c r="Y62" s="363">
        <v>0</v>
      </c>
      <c r="Z62" s="363">
        <v>0.05</v>
      </c>
      <c r="AA62" s="364"/>
      <c r="AB62" s="339"/>
      <c r="AC62" s="339"/>
      <c r="AD62" s="339" t="e">
        <v>#N/A</v>
      </c>
      <c r="AG62" s="293" t="e">
        <v>#REF!</v>
      </c>
      <c r="AI62" s="293" t="e">
        <v>#N/A</v>
      </c>
      <c r="AM62" s="365"/>
      <c r="AN62" s="339"/>
      <c r="AO62" s="339"/>
    </row>
    <row r="63" spans="1:41" ht="19.149999999999999" customHeight="1">
      <c r="A63" s="293"/>
      <c r="B63" s="366">
        <v>47</v>
      </c>
      <c r="C63" s="367" t="s">
        <v>341</v>
      </c>
      <c r="D63" s="366" t="s">
        <v>323</v>
      </c>
      <c r="E63" s="368">
        <v>979</v>
      </c>
      <c r="F63" s="368">
        <v>0</v>
      </c>
      <c r="G63" s="368">
        <v>0</v>
      </c>
      <c r="H63" s="368">
        <v>979</v>
      </c>
      <c r="I63" s="366" t="e">
        <v>#N/A</v>
      </c>
      <c r="J63" s="343"/>
      <c r="K63" s="399">
        <v>150</v>
      </c>
      <c r="L63" s="399">
        <v>780.05</v>
      </c>
      <c r="M63" s="399">
        <v>48.950000000000045</v>
      </c>
      <c r="N63" s="368"/>
      <c r="O63" s="370" t="e">
        <v>#N/A</v>
      </c>
      <c r="P63" s="343"/>
      <c r="Q63" s="371" t="s">
        <v>163</v>
      </c>
      <c r="R63" s="372" t="s">
        <v>275</v>
      </c>
      <c r="S63" s="293"/>
      <c r="T63" s="362">
        <v>0</v>
      </c>
      <c r="V63" s="363">
        <v>0.15321756894790603</v>
      </c>
      <c r="W63" s="363">
        <v>0.7967824310520939</v>
      </c>
      <c r="X63" s="363">
        <v>0</v>
      </c>
      <c r="Y63" s="363">
        <v>0</v>
      </c>
      <c r="Z63" s="363">
        <v>0.05</v>
      </c>
      <c r="AA63" s="364"/>
      <c r="AB63" s="339"/>
      <c r="AC63" s="339"/>
      <c r="AD63" s="339" t="e">
        <v>#N/A</v>
      </c>
      <c r="AG63" s="293" t="e">
        <v>#REF!</v>
      </c>
      <c r="AI63" s="293" t="e">
        <v>#N/A</v>
      </c>
      <c r="AM63" s="365"/>
      <c r="AN63" s="339"/>
      <c r="AO63" s="339"/>
    </row>
    <row r="64" spans="1:41" ht="19.149999999999999" customHeight="1">
      <c r="A64" s="293"/>
      <c r="B64" s="400" t="s">
        <v>342</v>
      </c>
      <c r="C64" s="355" t="s">
        <v>343</v>
      </c>
      <c r="D64" s="339" t="s">
        <v>268</v>
      </c>
      <c r="E64" s="356">
        <v>5268</v>
      </c>
      <c r="F64" s="356">
        <v>73</v>
      </c>
      <c r="G64" s="356">
        <v>317</v>
      </c>
      <c r="H64" s="356">
        <v>4878</v>
      </c>
      <c r="I64" s="339" t="e">
        <v>#N/A</v>
      </c>
      <c r="J64" s="357"/>
      <c r="K64" s="365">
        <v>3658.5</v>
      </c>
      <c r="L64" s="365">
        <v>0</v>
      </c>
      <c r="M64" s="365">
        <v>1219.5</v>
      </c>
      <c r="N64" s="356">
        <v>-2</v>
      </c>
      <c r="O64" s="359" t="e">
        <v>#N/A</v>
      </c>
      <c r="P64" s="357"/>
      <c r="Q64" s="360" t="s">
        <v>163</v>
      </c>
      <c r="R64" s="361" t="s">
        <v>326</v>
      </c>
      <c r="S64" s="293"/>
      <c r="T64" s="362">
        <v>0</v>
      </c>
      <c r="V64" s="363">
        <v>0.75</v>
      </c>
      <c r="W64" s="363">
        <v>0</v>
      </c>
      <c r="X64" s="363">
        <v>0</v>
      </c>
      <c r="Y64" s="363">
        <v>0</v>
      </c>
      <c r="Z64" s="363">
        <v>0.25</v>
      </c>
      <c r="AA64" s="364"/>
      <c r="AB64" s="339"/>
      <c r="AC64" s="339"/>
      <c r="AD64" s="339"/>
      <c r="AG64" s="293" t="s">
        <v>342</v>
      </c>
      <c r="AI64" s="293" t="e">
        <v>#N/A</v>
      </c>
      <c r="AM64" s="365">
        <v>0</v>
      </c>
      <c r="AN64" s="339"/>
      <c r="AO64" s="339"/>
    </row>
    <row r="65" spans="1:41" ht="19.149999999999999" customHeight="1">
      <c r="A65" s="293"/>
      <c r="B65" s="401" t="s">
        <v>342</v>
      </c>
      <c r="C65" s="367" t="s">
        <v>344</v>
      </c>
      <c r="D65" s="366" t="s">
        <v>268</v>
      </c>
      <c r="E65" s="368">
        <v>3127</v>
      </c>
      <c r="F65" s="368">
        <v>0</v>
      </c>
      <c r="G65" s="368">
        <v>206</v>
      </c>
      <c r="H65" s="368">
        <v>2921</v>
      </c>
      <c r="I65" s="366" t="e">
        <v>#N/A</v>
      </c>
      <c r="J65" s="343"/>
      <c r="K65" s="399">
        <v>0</v>
      </c>
      <c r="L65" s="399">
        <v>2190.75</v>
      </c>
      <c r="M65" s="399">
        <v>730.25</v>
      </c>
      <c r="N65" s="368">
        <v>-2</v>
      </c>
      <c r="O65" s="370" t="e">
        <v>#N/A</v>
      </c>
      <c r="P65" s="343"/>
      <c r="Q65" s="371" t="s">
        <v>163</v>
      </c>
      <c r="R65" s="372" t="s">
        <v>326</v>
      </c>
      <c r="S65" s="293"/>
      <c r="T65" s="362">
        <v>0</v>
      </c>
      <c r="V65" s="363">
        <v>0</v>
      </c>
      <c r="W65" s="363">
        <v>0.75</v>
      </c>
      <c r="X65" s="363">
        <v>0</v>
      </c>
      <c r="Y65" s="363">
        <v>0</v>
      </c>
      <c r="Z65" s="363">
        <v>0.25</v>
      </c>
      <c r="AA65" s="364"/>
      <c r="AB65" s="339"/>
      <c r="AC65" s="339"/>
      <c r="AD65" s="339"/>
      <c r="AG65" s="293" t="s">
        <v>342</v>
      </c>
      <c r="AI65" s="293" t="e">
        <v>#N/A</v>
      </c>
      <c r="AM65" s="365">
        <v>2190.75</v>
      </c>
      <c r="AN65" s="339"/>
      <c r="AO65" s="339"/>
    </row>
    <row r="66" spans="1:41" ht="19.149999999999999" customHeight="1">
      <c r="A66" s="293"/>
      <c r="B66" s="400" t="s">
        <v>342</v>
      </c>
      <c r="C66" s="355" t="s">
        <v>345</v>
      </c>
      <c r="D66" s="339" t="s">
        <v>291</v>
      </c>
      <c r="E66" s="356">
        <v>5999</v>
      </c>
      <c r="F66" s="356">
        <v>316</v>
      </c>
      <c r="G66" s="356">
        <v>683</v>
      </c>
      <c r="H66" s="356">
        <v>5000</v>
      </c>
      <c r="I66" s="339" t="e">
        <v>#N/A</v>
      </c>
      <c r="J66" s="357"/>
      <c r="K66" s="365">
        <v>750.12502083680613</v>
      </c>
      <c r="L66" s="365">
        <v>2999.874979163194</v>
      </c>
      <c r="M66" s="365">
        <v>1250</v>
      </c>
      <c r="N66" s="356">
        <v>-2</v>
      </c>
      <c r="O66" s="359" t="e">
        <v>#N/A</v>
      </c>
      <c r="P66" s="357"/>
      <c r="Q66" s="360" t="s">
        <v>163</v>
      </c>
      <c r="R66" s="361" t="s">
        <v>326</v>
      </c>
      <c r="S66" s="293"/>
      <c r="T66" s="362">
        <v>0</v>
      </c>
      <c r="V66" s="363">
        <v>0.15002500416736123</v>
      </c>
      <c r="W66" s="363">
        <v>0.5999749958326388</v>
      </c>
      <c r="X66" s="363">
        <v>0</v>
      </c>
      <c r="Y66" s="363">
        <v>0</v>
      </c>
      <c r="Z66" s="363">
        <v>0.25</v>
      </c>
      <c r="AA66" s="364"/>
      <c r="AB66" s="339"/>
      <c r="AC66" s="339"/>
      <c r="AD66" s="339"/>
      <c r="AG66" s="293" t="s">
        <v>342</v>
      </c>
      <c r="AI66" s="293" t="e">
        <v>#N/A</v>
      </c>
      <c r="AM66" s="365">
        <v>2999.874979163194</v>
      </c>
      <c r="AN66" s="339"/>
      <c r="AO66" s="339"/>
    </row>
    <row r="67" spans="1:41" ht="19.149999999999999" customHeight="1">
      <c r="A67" s="293"/>
      <c r="B67" s="401" t="s">
        <v>342</v>
      </c>
      <c r="C67" s="367" t="s">
        <v>346</v>
      </c>
      <c r="D67" s="366" t="s">
        <v>268</v>
      </c>
      <c r="E67" s="368">
        <v>9132</v>
      </c>
      <c r="F67" s="368">
        <v>308</v>
      </c>
      <c r="G67" s="368">
        <v>535</v>
      </c>
      <c r="H67" s="368">
        <v>2605</v>
      </c>
      <c r="I67" s="366" t="e">
        <v>#N/A</v>
      </c>
      <c r="J67" s="343"/>
      <c r="K67" s="399">
        <v>1887.8547963206308</v>
      </c>
      <c r="L67" s="399">
        <v>0</v>
      </c>
      <c r="M67" s="399">
        <v>717.14520367936916</v>
      </c>
      <c r="N67" s="368"/>
      <c r="O67" s="370" t="e">
        <v>#N/A</v>
      </c>
      <c r="P67" s="343"/>
      <c r="Q67" s="371" t="s">
        <v>163</v>
      </c>
      <c r="R67" s="372" t="s">
        <v>275</v>
      </c>
      <c r="S67" s="293"/>
      <c r="T67" s="362">
        <v>0</v>
      </c>
      <c r="V67" s="363">
        <v>0.7247043363994744</v>
      </c>
      <c r="W67" s="363">
        <v>0</v>
      </c>
      <c r="X67" s="363">
        <v>0</v>
      </c>
      <c r="Y67" s="363">
        <v>0</v>
      </c>
      <c r="Z67" s="363">
        <v>0.27500000000000002</v>
      </c>
      <c r="AA67" s="364"/>
      <c r="AB67" s="339"/>
      <c r="AC67" s="339"/>
      <c r="AD67" s="339"/>
      <c r="AG67" s="293" t="s">
        <v>342</v>
      </c>
      <c r="AI67" s="293" t="e">
        <v>#N/A</v>
      </c>
      <c r="AM67" s="365">
        <v>65.89520367936916</v>
      </c>
      <c r="AN67" s="339"/>
      <c r="AO67" s="339"/>
    </row>
    <row r="68" spans="1:41" ht="19.149999999999999" customHeight="1">
      <c r="A68" s="293"/>
      <c r="B68" s="400" t="s">
        <v>342</v>
      </c>
      <c r="C68" s="355" t="s">
        <v>347</v>
      </c>
      <c r="D68" s="339" t="s">
        <v>160</v>
      </c>
      <c r="E68" s="356">
        <v>2487</v>
      </c>
      <c r="F68" s="356">
        <v>0</v>
      </c>
      <c r="G68" s="356">
        <v>660</v>
      </c>
      <c r="H68" s="356">
        <v>900</v>
      </c>
      <c r="I68" s="339" t="e">
        <v>#N/A</v>
      </c>
      <c r="J68" s="357"/>
      <c r="K68" s="365">
        <v>0</v>
      </c>
      <c r="L68" s="365">
        <v>0</v>
      </c>
      <c r="M68" s="365">
        <v>900</v>
      </c>
      <c r="N68" s="356">
        <v>-2</v>
      </c>
      <c r="O68" s="359" t="e">
        <v>#N/A</v>
      </c>
      <c r="P68" s="357"/>
      <c r="Q68" s="360" t="s">
        <v>178</v>
      </c>
      <c r="R68" s="361" t="s">
        <v>348</v>
      </c>
      <c r="S68" s="293"/>
      <c r="T68" s="362">
        <v>0</v>
      </c>
      <c r="V68" s="363">
        <v>0</v>
      </c>
      <c r="W68" s="363">
        <v>0</v>
      </c>
      <c r="X68" s="363">
        <v>0</v>
      </c>
      <c r="Y68" s="363">
        <v>0</v>
      </c>
      <c r="Z68" s="363">
        <v>1</v>
      </c>
      <c r="AA68" s="364"/>
      <c r="AB68" s="339"/>
      <c r="AC68" s="339"/>
      <c r="AD68" s="339"/>
      <c r="AG68" s="293" t="s">
        <v>342</v>
      </c>
      <c r="AI68" s="293" t="e">
        <v>#N/A</v>
      </c>
      <c r="AM68" s="365">
        <v>675</v>
      </c>
      <c r="AN68" s="339"/>
      <c r="AO68" s="339"/>
    </row>
    <row r="69" spans="1:41" ht="19.149999999999999" customHeight="1">
      <c r="A69" s="293"/>
      <c r="B69" s="401" t="s">
        <v>342</v>
      </c>
      <c r="C69" s="367" t="s">
        <v>349</v>
      </c>
      <c r="D69" s="366" t="s">
        <v>300</v>
      </c>
      <c r="E69" s="368">
        <v>1045</v>
      </c>
      <c r="F69" s="368">
        <v>0</v>
      </c>
      <c r="G69" s="368">
        <v>560</v>
      </c>
      <c r="H69" s="368">
        <v>485</v>
      </c>
      <c r="I69" s="366" t="e">
        <v>#N/A</v>
      </c>
      <c r="J69" s="343"/>
      <c r="K69" s="399">
        <v>0</v>
      </c>
      <c r="L69" s="399">
        <v>0</v>
      </c>
      <c r="M69" s="399">
        <v>485</v>
      </c>
      <c r="N69" s="368">
        <v>-2</v>
      </c>
      <c r="O69" s="370" t="s">
        <v>269</v>
      </c>
      <c r="P69" s="343"/>
      <c r="Q69" s="371" t="s">
        <v>178</v>
      </c>
      <c r="R69" s="372" t="s">
        <v>350</v>
      </c>
      <c r="S69" s="293"/>
      <c r="T69" s="362">
        <v>0</v>
      </c>
      <c r="V69" s="363">
        <v>0</v>
      </c>
      <c r="W69" s="363">
        <v>0</v>
      </c>
      <c r="X69" s="363">
        <v>0</v>
      </c>
      <c r="Y69" s="363">
        <v>0</v>
      </c>
      <c r="Z69" s="363">
        <v>1</v>
      </c>
      <c r="AA69" s="402" t="e">
        <v>#N/A</v>
      </c>
      <c r="AB69" s="339"/>
      <c r="AC69" s="339"/>
      <c r="AD69" s="339"/>
      <c r="AG69" s="293" t="s">
        <v>342</v>
      </c>
      <c r="AI69" s="293" t="e">
        <v>#N/A</v>
      </c>
      <c r="AM69" s="365"/>
      <c r="AN69" s="339"/>
      <c r="AO69" s="339"/>
    </row>
    <row r="70" spans="1:41" ht="19.149999999999999" customHeight="1">
      <c r="A70" s="293"/>
      <c r="B70" s="400" t="s">
        <v>342</v>
      </c>
      <c r="C70" s="355" t="s">
        <v>351</v>
      </c>
      <c r="D70" s="339" t="s">
        <v>323</v>
      </c>
      <c r="E70" s="356">
        <v>424</v>
      </c>
      <c r="F70" s="356">
        <v>0</v>
      </c>
      <c r="G70" s="356">
        <v>0</v>
      </c>
      <c r="H70" s="356">
        <v>424</v>
      </c>
      <c r="I70" s="339" t="s">
        <v>352</v>
      </c>
      <c r="J70" s="357"/>
      <c r="K70" s="365">
        <v>150</v>
      </c>
      <c r="L70" s="365">
        <v>252.79999999999998</v>
      </c>
      <c r="M70" s="365">
        <v>21.200000000000045</v>
      </c>
      <c r="N70" s="356"/>
      <c r="O70" s="359">
        <v>0</v>
      </c>
      <c r="P70" s="357"/>
      <c r="Q70" s="360" t="s">
        <v>163</v>
      </c>
      <c r="R70" s="361" t="s">
        <v>292</v>
      </c>
      <c r="S70" s="293"/>
      <c r="T70" s="362">
        <v>0</v>
      </c>
      <c r="V70" s="363">
        <v>0.35377358490566035</v>
      </c>
      <c r="W70" s="363">
        <v>0.5962264150943396</v>
      </c>
      <c r="X70" s="363">
        <v>0</v>
      </c>
      <c r="Y70" s="363">
        <v>0</v>
      </c>
      <c r="Z70" s="363">
        <v>0.05</v>
      </c>
      <c r="AA70" s="364"/>
      <c r="AB70" s="339"/>
      <c r="AC70" s="339"/>
      <c r="AD70" s="339"/>
      <c r="AE70" s="293" t="e">
        <v>#N/A</v>
      </c>
      <c r="AG70" s="293" t="s">
        <v>342</v>
      </c>
      <c r="AI70" s="293" t="s">
        <v>351</v>
      </c>
      <c r="AM70" s="365"/>
      <c r="AN70" s="339"/>
      <c r="AO70" s="339"/>
    </row>
    <row r="71" spans="1:41" ht="19.149999999999999" customHeight="1">
      <c r="A71" s="293"/>
      <c r="B71" s="401" t="s">
        <v>342</v>
      </c>
      <c r="C71" s="367" t="s">
        <v>353</v>
      </c>
      <c r="D71" s="366" t="s">
        <v>160</v>
      </c>
      <c r="E71" s="368">
        <v>367</v>
      </c>
      <c r="F71" s="368">
        <v>0</v>
      </c>
      <c r="G71" s="368">
        <v>24</v>
      </c>
      <c r="H71" s="368">
        <v>343</v>
      </c>
      <c r="I71" s="366" t="e">
        <v>#N/A</v>
      </c>
      <c r="J71" s="343"/>
      <c r="K71" s="399">
        <v>0</v>
      </c>
      <c r="L71" s="399">
        <v>0</v>
      </c>
      <c r="M71" s="399">
        <v>343</v>
      </c>
      <c r="N71" s="368"/>
      <c r="O71" s="370" t="s">
        <v>269</v>
      </c>
      <c r="P71" s="343"/>
      <c r="Q71" s="371" t="s">
        <v>163</v>
      </c>
      <c r="R71" s="372" t="s">
        <v>354</v>
      </c>
      <c r="S71" s="293"/>
      <c r="T71" s="362">
        <v>0</v>
      </c>
      <c r="V71" s="363">
        <v>0</v>
      </c>
      <c r="W71" s="363">
        <v>0</v>
      </c>
      <c r="X71" s="363">
        <v>0</v>
      </c>
      <c r="Y71" s="363">
        <v>0</v>
      </c>
      <c r="Z71" s="363">
        <v>1</v>
      </c>
      <c r="AA71" s="364"/>
      <c r="AB71" s="339"/>
      <c r="AC71" s="339"/>
      <c r="AD71" s="339"/>
      <c r="AG71" s="293" t="s">
        <v>342</v>
      </c>
      <c r="AI71" s="293" t="e">
        <v>#N/A</v>
      </c>
      <c r="AM71" s="365"/>
      <c r="AN71" s="339"/>
      <c r="AO71" s="339"/>
    </row>
    <row r="72" spans="1:41" ht="19.149999999999999" customHeight="1">
      <c r="A72" s="293"/>
      <c r="B72" s="400" t="s">
        <v>342</v>
      </c>
      <c r="C72" s="355" t="s">
        <v>189</v>
      </c>
      <c r="D72" s="339" t="s">
        <v>177</v>
      </c>
      <c r="E72" s="356">
        <v>4668</v>
      </c>
      <c r="F72" s="356">
        <v>0</v>
      </c>
      <c r="G72" s="356">
        <v>310</v>
      </c>
      <c r="H72" s="356">
        <v>4358</v>
      </c>
      <c r="I72" s="339" t="e">
        <v>#N/A</v>
      </c>
      <c r="J72" s="357"/>
      <c r="K72" s="365">
        <v>287.62799999999976</v>
      </c>
      <c r="L72" s="365">
        <v>2980.8720000000003</v>
      </c>
      <c r="M72" s="365">
        <v>1089.5</v>
      </c>
      <c r="N72" s="356"/>
      <c r="O72" s="359" t="e">
        <v>#N/A</v>
      </c>
      <c r="P72" s="357"/>
      <c r="Q72" s="360" t="s">
        <v>187</v>
      </c>
      <c r="R72" s="361" t="s">
        <v>355</v>
      </c>
      <c r="S72" s="293"/>
      <c r="T72" s="362">
        <v>0</v>
      </c>
      <c r="V72" s="363">
        <v>6.5999999999999948E-2</v>
      </c>
      <c r="W72" s="363">
        <v>0.68400000000000005</v>
      </c>
      <c r="X72" s="363">
        <v>0</v>
      </c>
      <c r="Y72" s="363">
        <v>0</v>
      </c>
      <c r="Z72" s="363">
        <v>0.25</v>
      </c>
      <c r="AA72" s="364"/>
      <c r="AB72" s="339"/>
      <c r="AC72" s="339"/>
      <c r="AD72" s="339"/>
      <c r="AG72" s="293" t="s">
        <v>342</v>
      </c>
      <c r="AI72" s="293" t="e">
        <v>#N/A</v>
      </c>
      <c r="AM72" s="365"/>
      <c r="AN72" s="339"/>
      <c r="AO72" s="339"/>
    </row>
    <row r="73" spans="1:41" ht="19.149999999999999" customHeight="1">
      <c r="A73" s="293"/>
      <c r="B73" s="401" t="s">
        <v>342</v>
      </c>
      <c r="C73" s="367" t="s">
        <v>356</v>
      </c>
      <c r="D73" s="366" t="s">
        <v>278</v>
      </c>
      <c r="E73" s="368">
        <v>127</v>
      </c>
      <c r="F73" s="368">
        <v>0</v>
      </c>
      <c r="G73" s="368">
        <v>0</v>
      </c>
      <c r="H73" s="368">
        <v>127</v>
      </c>
      <c r="I73" s="366" t="e">
        <v>#N/A</v>
      </c>
      <c r="J73" s="343"/>
      <c r="K73" s="399">
        <v>0</v>
      </c>
      <c r="L73" s="399">
        <v>0</v>
      </c>
      <c r="M73" s="399">
        <v>127</v>
      </c>
      <c r="N73" s="368"/>
      <c r="O73" s="370" t="e">
        <v>#N/A</v>
      </c>
      <c r="P73" s="343"/>
      <c r="Q73" s="371" t="s">
        <v>163</v>
      </c>
      <c r="R73" s="372" t="s">
        <v>279</v>
      </c>
      <c r="S73" s="293"/>
      <c r="T73" s="362">
        <v>0</v>
      </c>
      <c r="V73" s="363">
        <v>0</v>
      </c>
      <c r="W73" s="363">
        <v>0</v>
      </c>
      <c r="X73" s="363">
        <v>0</v>
      </c>
      <c r="Y73" s="363">
        <v>0</v>
      </c>
      <c r="Z73" s="363">
        <v>1</v>
      </c>
      <c r="AA73" s="364"/>
      <c r="AB73" s="339"/>
      <c r="AC73" s="339"/>
      <c r="AD73" s="339"/>
      <c r="AG73" s="293" t="s">
        <v>342</v>
      </c>
      <c r="AM73" s="365"/>
      <c r="AN73" s="339"/>
      <c r="AO73" s="339"/>
    </row>
    <row r="74" spans="1:41" ht="19.149999999999999" customHeight="1">
      <c r="A74" s="293"/>
      <c r="B74" s="400" t="s">
        <v>342</v>
      </c>
      <c r="C74" s="355" t="s">
        <v>357</v>
      </c>
      <c r="D74" s="339" t="s">
        <v>291</v>
      </c>
      <c r="E74" s="356">
        <v>150</v>
      </c>
      <c r="F74" s="356">
        <v>0</v>
      </c>
      <c r="G74" s="356">
        <v>75</v>
      </c>
      <c r="H74" s="356">
        <v>75</v>
      </c>
      <c r="I74" s="339" t="e">
        <v>#N/A</v>
      </c>
      <c r="J74" s="357"/>
      <c r="K74" s="365">
        <v>0</v>
      </c>
      <c r="L74" s="365">
        <v>0</v>
      </c>
      <c r="M74" s="365">
        <v>75</v>
      </c>
      <c r="N74" s="356"/>
      <c r="O74" s="359" t="e">
        <v>#N/A</v>
      </c>
      <c r="P74" s="357"/>
      <c r="Q74" s="360" t="s">
        <v>163</v>
      </c>
      <c r="R74" s="361" t="s">
        <v>358</v>
      </c>
      <c r="S74" s="362"/>
      <c r="T74" s="362">
        <v>0</v>
      </c>
      <c r="V74" s="363">
        <v>0</v>
      </c>
      <c r="W74" s="363">
        <v>0</v>
      </c>
      <c r="X74" s="363">
        <v>0</v>
      </c>
      <c r="Y74" s="363">
        <v>0</v>
      </c>
      <c r="Z74" s="363">
        <v>1</v>
      </c>
      <c r="AA74" s="364"/>
      <c r="AB74" s="339"/>
      <c r="AC74" s="339"/>
      <c r="AD74" s="339"/>
      <c r="AG74" s="293" t="s">
        <v>342</v>
      </c>
      <c r="AM74" s="365"/>
      <c r="AN74" s="339"/>
      <c r="AO74" s="339"/>
    </row>
    <row r="75" spans="1:41" ht="19.149999999999999" customHeight="1">
      <c r="A75" s="293"/>
      <c r="B75" s="401" t="s">
        <v>342</v>
      </c>
      <c r="C75" s="367" t="s">
        <v>359</v>
      </c>
      <c r="D75" s="366" t="s">
        <v>166</v>
      </c>
      <c r="E75" s="368">
        <v>3826</v>
      </c>
      <c r="F75" s="368">
        <v>0</v>
      </c>
      <c r="G75" s="368">
        <v>581</v>
      </c>
      <c r="H75" s="368">
        <v>600</v>
      </c>
      <c r="I75" s="366">
        <v>0</v>
      </c>
      <c r="J75" s="343"/>
      <c r="K75" s="399">
        <v>0</v>
      </c>
      <c r="L75" s="399">
        <v>0</v>
      </c>
      <c r="M75" s="399">
        <v>600</v>
      </c>
      <c r="N75" s="368"/>
      <c r="O75" s="370">
        <v>0</v>
      </c>
      <c r="P75" s="343"/>
      <c r="Q75" s="371" t="s">
        <v>163</v>
      </c>
      <c r="R75" s="372" t="s">
        <v>360</v>
      </c>
      <c r="S75" s="293"/>
      <c r="T75" s="362">
        <v>0</v>
      </c>
      <c r="V75" s="363"/>
      <c r="W75" s="363"/>
      <c r="X75" s="363"/>
      <c r="Y75" s="363"/>
      <c r="Z75" s="363"/>
      <c r="AA75" s="364"/>
      <c r="AB75" s="339"/>
      <c r="AC75" s="339"/>
      <c r="AD75" s="339"/>
      <c r="AG75" s="293" t="s">
        <v>342</v>
      </c>
      <c r="AM75" s="365"/>
      <c r="AN75" s="339"/>
      <c r="AO75" s="339"/>
    </row>
    <row r="76" spans="1:41" ht="19.149999999999999" customHeight="1">
      <c r="B76" s="400"/>
      <c r="C76" s="403"/>
      <c r="D76" s="404" t="s">
        <v>361</v>
      </c>
      <c r="E76" s="356"/>
      <c r="F76" s="405">
        <v>3075</v>
      </c>
      <c r="G76" s="405">
        <v>26268</v>
      </c>
      <c r="H76" s="405">
        <v>47185</v>
      </c>
      <c r="I76" s="339"/>
      <c r="J76" s="357"/>
      <c r="K76" s="405">
        <v>7579.5053660056874</v>
      </c>
      <c r="L76" s="405">
        <v>12609.299430314943</v>
      </c>
      <c r="M76" s="405">
        <v>26996.19520367937</v>
      </c>
      <c r="N76" s="406"/>
      <c r="O76" s="359"/>
      <c r="P76" s="357"/>
      <c r="Q76" s="335"/>
      <c r="R76" s="407"/>
      <c r="S76" s="362"/>
      <c r="T76" s="362">
        <v>0</v>
      </c>
      <c r="V76" s="363"/>
      <c r="W76" s="363"/>
      <c r="X76" s="363"/>
      <c r="Y76" s="363"/>
      <c r="Z76" s="363"/>
      <c r="AA76" s="364"/>
      <c r="AB76" s="339"/>
      <c r="AC76" s="339"/>
      <c r="AD76" s="339"/>
      <c r="AM76" s="365"/>
      <c r="AN76" s="339"/>
      <c r="AO76" s="339"/>
    </row>
    <row r="77" spans="1:41" ht="19.149999999999999" customHeight="1">
      <c r="B77" s="339"/>
      <c r="C77" s="338"/>
      <c r="D77" s="408"/>
      <c r="E77" s="332"/>
      <c r="F77" s="409"/>
      <c r="G77" s="409"/>
      <c r="H77" s="409"/>
      <c r="I77" s="410"/>
      <c r="J77" s="411"/>
      <c r="K77" s="409"/>
      <c r="L77" s="409"/>
      <c r="M77" s="409"/>
      <c r="N77" s="339"/>
      <c r="O77" s="359"/>
      <c r="P77" s="412"/>
      <c r="Q77" s="336"/>
      <c r="R77" s="339"/>
      <c r="S77" s="293"/>
      <c r="V77" s="413"/>
      <c r="W77" s="413"/>
      <c r="X77" s="413"/>
      <c r="Y77" s="413"/>
      <c r="Z77" s="413"/>
      <c r="AA77" s="364"/>
      <c r="AB77" s="330"/>
      <c r="AC77" s="330"/>
      <c r="AD77" s="330"/>
      <c r="AM77" s="365"/>
      <c r="AN77" s="339"/>
      <c r="AO77" s="339"/>
    </row>
    <row r="78" spans="1:41" ht="19.149999999999999" customHeight="1">
      <c r="B78" s="339"/>
      <c r="C78" s="338"/>
      <c r="D78" s="408" t="s">
        <v>362</v>
      </c>
      <c r="E78" s="332"/>
      <c r="F78" s="409">
        <v>43519</v>
      </c>
      <c r="G78" s="409">
        <v>22095</v>
      </c>
      <c r="H78" s="409">
        <v>0</v>
      </c>
      <c r="I78" s="410"/>
      <c r="J78" s="411"/>
      <c r="K78" s="409"/>
      <c r="L78" s="409"/>
      <c r="M78" s="409"/>
      <c r="N78" s="339"/>
      <c r="O78" s="359"/>
      <c r="P78" s="357"/>
      <c r="Q78" s="414"/>
      <c r="R78" s="339"/>
      <c r="S78" s="293"/>
      <c r="V78" s="413"/>
      <c r="W78" s="413"/>
      <c r="X78" s="413"/>
      <c r="Y78" s="413"/>
      <c r="Z78" s="413"/>
      <c r="AA78" s="364"/>
      <c r="AB78" s="330"/>
      <c r="AC78" s="330"/>
      <c r="AD78" s="330"/>
      <c r="AM78" s="365"/>
      <c r="AN78" s="339"/>
      <c r="AO78" s="339"/>
    </row>
    <row r="79" spans="1:41" ht="19.149999999999999" customHeight="1">
      <c r="B79" s="339"/>
      <c r="C79" s="338"/>
      <c r="D79" s="408" t="s">
        <v>363</v>
      </c>
      <c r="E79" s="332"/>
      <c r="F79" s="409">
        <v>46594</v>
      </c>
      <c r="G79" s="409">
        <v>48363</v>
      </c>
      <c r="H79" s="409">
        <v>47185</v>
      </c>
      <c r="I79" s="410"/>
      <c r="J79" s="411"/>
      <c r="K79" s="409"/>
      <c r="L79" s="409"/>
      <c r="M79" s="409"/>
      <c r="N79" s="339"/>
      <c r="O79" s="359"/>
      <c r="P79" s="357"/>
      <c r="Q79" s="414"/>
      <c r="R79" s="339"/>
      <c r="S79" s="293"/>
      <c r="V79" s="413"/>
      <c r="W79" s="413"/>
      <c r="X79" s="413"/>
      <c r="Y79" s="413"/>
      <c r="Z79" s="413"/>
      <c r="AA79" s="364"/>
      <c r="AB79" s="330"/>
      <c r="AC79" s="330"/>
      <c r="AD79" s="330"/>
      <c r="AM79" s="365"/>
      <c r="AN79" s="339"/>
      <c r="AO79" s="339"/>
    </row>
    <row r="80" spans="1:41" ht="19.149999999999999" customHeight="1">
      <c r="B80" s="339"/>
      <c r="C80" s="415"/>
      <c r="D80" s="408"/>
      <c r="E80" s="332"/>
      <c r="F80" s="409"/>
      <c r="G80" s="409"/>
      <c r="H80" s="409"/>
      <c r="I80" s="410"/>
      <c r="J80" s="411"/>
      <c r="K80" s="332"/>
      <c r="L80" s="332"/>
      <c r="M80" s="332"/>
      <c r="N80" s="339"/>
      <c r="O80" s="359"/>
      <c r="P80" s="416"/>
      <c r="Q80" s="414"/>
      <c r="R80" s="339"/>
      <c r="S80" s="293"/>
      <c r="V80" s="413"/>
      <c r="W80" s="413"/>
      <c r="X80" s="413"/>
      <c r="Y80" s="413"/>
      <c r="Z80" s="413"/>
      <c r="AA80" s="364"/>
      <c r="AB80" s="330"/>
      <c r="AC80" s="330"/>
      <c r="AD80" s="330"/>
      <c r="AM80" s="365"/>
      <c r="AN80" s="339"/>
      <c r="AO80" s="339"/>
    </row>
    <row r="81" spans="1:41" ht="19.149999999999999" customHeight="1">
      <c r="B81" s="339"/>
      <c r="C81" s="415"/>
      <c r="D81" s="408" t="s">
        <v>364</v>
      </c>
      <c r="E81" s="417" t="s">
        <v>365</v>
      </c>
      <c r="F81" s="409">
        <v>0</v>
      </c>
      <c r="G81" s="409">
        <v>0</v>
      </c>
      <c r="H81" s="409">
        <v>0</v>
      </c>
      <c r="I81" s="410"/>
      <c r="J81" s="411"/>
      <c r="K81" s="332"/>
      <c r="L81" s="332"/>
      <c r="M81" s="332"/>
      <c r="N81" s="339"/>
      <c r="O81" s="359"/>
      <c r="P81" s="416"/>
      <c r="Q81" s="414"/>
      <c r="R81" s="339"/>
      <c r="S81" s="293"/>
      <c r="V81" s="413"/>
      <c r="W81" s="413"/>
      <c r="X81" s="413"/>
      <c r="Y81" s="413"/>
      <c r="Z81" s="413"/>
      <c r="AA81" s="364"/>
      <c r="AB81" s="330"/>
      <c r="AC81" s="330"/>
      <c r="AD81" s="330"/>
      <c r="AM81" s="365"/>
      <c r="AN81" s="339"/>
      <c r="AO81" s="339"/>
    </row>
    <row r="82" spans="1:41" ht="19.149999999999999" hidden="1" customHeight="1">
      <c r="B82" s="339"/>
      <c r="C82" s="339"/>
      <c r="D82" s="339"/>
      <c r="E82" s="356"/>
      <c r="F82" s="356"/>
      <c r="G82" s="356"/>
      <c r="H82" s="356"/>
      <c r="I82" s="339"/>
      <c r="J82" s="357"/>
      <c r="K82" s="332"/>
      <c r="L82" s="332"/>
      <c r="M82" s="332"/>
      <c r="N82" s="418"/>
      <c r="O82" s="359"/>
      <c r="P82" s="357"/>
      <c r="Q82" s="414"/>
      <c r="R82" s="339"/>
      <c r="S82" s="293"/>
      <c r="V82" s="379"/>
      <c r="W82" s="379"/>
      <c r="X82" s="379"/>
      <c r="Y82" s="379"/>
      <c r="Z82" s="413"/>
      <c r="AA82" s="364"/>
      <c r="AB82" s="339"/>
      <c r="AC82" s="339"/>
      <c r="AD82" s="419"/>
      <c r="AM82" s="365"/>
      <c r="AN82" s="339"/>
      <c r="AO82" s="339"/>
    </row>
    <row r="83" spans="1:41" ht="19.149999999999999" hidden="1" customHeight="1">
      <c r="B83" s="339"/>
      <c r="C83" s="420"/>
      <c r="D83" s="330"/>
      <c r="E83" s="332"/>
      <c r="F83" s="409"/>
      <c r="G83" s="409"/>
      <c r="H83" s="409"/>
      <c r="I83" s="332"/>
      <c r="J83" s="421"/>
      <c r="K83" s="409"/>
      <c r="L83" s="409"/>
      <c r="M83" s="409"/>
      <c r="N83" s="422"/>
      <c r="O83" s="423"/>
      <c r="P83" s="424"/>
      <c r="Q83" s="425"/>
      <c r="R83" s="422"/>
      <c r="S83" s="293"/>
      <c r="V83" s="413"/>
      <c r="W83" s="413"/>
      <c r="X83" s="413"/>
      <c r="Y83" s="413"/>
      <c r="Z83" s="413"/>
      <c r="AA83" s="364"/>
      <c r="AB83" s="339"/>
      <c r="AC83" s="339"/>
      <c r="AD83" s="339"/>
      <c r="AM83" s="365"/>
      <c r="AN83" s="339"/>
      <c r="AO83" s="339"/>
    </row>
    <row r="84" spans="1:41" ht="19.149999999999999" hidden="1" customHeight="1">
      <c r="B84" s="339"/>
      <c r="C84" s="420"/>
      <c r="D84" s="408" t="s">
        <v>366</v>
      </c>
      <c r="E84" s="332"/>
      <c r="F84" s="409">
        <v>2603</v>
      </c>
      <c r="G84" s="409">
        <v>8150</v>
      </c>
      <c r="H84" s="409">
        <v>47185</v>
      </c>
      <c r="I84" s="426" t="s">
        <v>367</v>
      </c>
      <c r="J84" s="427"/>
      <c r="K84" s="409">
        <v>0</v>
      </c>
      <c r="L84" s="409">
        <v>0</v>
      </c>
      <c r="M84" s="409">
        <v>0</v>
      </c>
      <c r="N84" s="422"/>
      <c r="O84" s="423"/>
      <c r="P84" s="424"/>
      <c r="Q84" s="425"/>
      <c r="R84" s="422"/>
      <c r="S84" s="293"/>
      <c r="V84" s="413"/>
      <c r="W84" s="413"/>
      <c r="X84" s="413"/>
      <c r="Y84" s="413"/>
      <c r="Z84" s="413"/>
      <c r="AA84" s="364"/>
      <c r="AB84" s="339"/>
      <c r="AC84" s="339"/>
      <c r="AD84" s="339"/>
      <c r="AM84" s="365"/>
      <c r="AN84" s="339"/>
      <c r="AO84" s="339"/>
    </row>
    <row r="85" spans="1:41" ht="19.149999999999999" hidden="1" customHeight="1">
      <c r="B85" s="339"/>
      <c r="C85" s="420"/>
      <c r="D85" s="408" t="s">
        <v>368</v>
      </c>
      <c r="E85" s="332"/>
      <c r="F85" s="409">
        <v>43991</v>
      </c>
      <c r="G85" s="409">
        <v>40213</v>
      </c>
      <c r="H85" s="409">
        <v>0</v>
      </c>
      <c r="I85" s="338"/>
      <c r="J85" s="428"/>
      <c r="K85" s="409">
        <v>0</v>
      </c>
      <c r="L85" s="409">
        <v>0</v>
      </c>
      <c r="M85" s="409">
        <v>0</v>
      </c>
      <c r="N85" s="422"/>
      <c r="O85" s="423"/>
      <c r="P85" s="424"/>
      <c r="Q85" s="425"/>
      <c r="R85" s="422"/>
      <c r="S85" s="293"/>
      <c r="V85" s="413"/>
      <c r="W85" s="413"/>
      <c r="X85" s="413"/>
      <c r="Y85" s="413"/>
      <c r="Z85" s="413"/>
      <c r="AA85" s="364"/>
      <c r="AB85" s="339"/>
      <c r="AC85" s="339"/>
      <c r="AD85" s="339"/>
      <c r="AM85" s="365"/>
      <c r="AN85" s="339"/>
      <c r="AO85" s="339"/>
    </row>
    <row r="86" spans="1:41" ht="19.149999999999999" hidden="1" customHeight="1">
      <c r="B86" s="339"/>
      <c r="C86" s="420"/>
      <c r="D86" s="408" t="s">
        <v>363</v>
      </c>
      <c r="E86" s="332"/>
      <c r="F86" s="409">
        <v>46594</v>
      </c>
      <c r="G86" s="409">
        <v>48363</v>
      </c>
      <c r="H86" s="409">
        <v>47185</v>
      </c>
      <c r="I86" s="429"/>
      <c r="J86" s="430"/>
      <c r="K86" s="409">
        <v>0</v>
      </c>
      <c r="L86" s="409">
        <v>0</v>
      </c>
      <c r="M86" s="409">
        <v>0</v>
      </c>
      <c r="N86" s="422"/>
      <c r="O86" s="423"/>
      <c r="P86" s="431"/>
      <c r="Q86" s="425"/>
      <c r="R86" s="422"/>
      <c r="S86" s="293"/>
      <c r="V86" s="413"/>
      <c r="W86" s="413"/>
      <c r="X86" s="413"/>
      <c r="Y86" s="413"/>
      <c r="Z86" s="413"/>
      <c r="AA86" s="364"/>
      <c r="AB86" s="339"/>
      <c r="AC86" s="339"/>
      <c r="AD86" s="339"/>
      <c r="AM86" s="365">
        <v>0</v>
      </c>
      <c r="AN86" s="432">
        <v>47185</v>
      </c>
      <c r="AO86" s="339"/>
    </row>
    <row r="87" spans="1:41" ht="21" hidden="1" customHeight="1">
      <c r="B87" s="339"/>
      <c r="C87" s="339"/>
      <c r="D87" s="295"/>
      <c r="K87" s="332"/>
      <c r="L87" s="332"/>
      <c r="M87" s="365"/>
      <c r="N87" s="422"/>
      <c r="O87" s="422"/>
      <c r="P87" s="422"/>
      <c r="Q87" s="433"/>
      <c r="R87" s="422"/>
      <c r="S87" s="293"/>
      <c r="V87" s="413"/>
      <c r="W87" s="413"/>
      <c r="X87" s="413"/>
      <c r="Y87" s="413"/>
      <c r="Z87" s="413"/>
      <c r="AA87" s="364"/>
      <c r="AB87" s="295"/>
      <c r="AC87" s="295"/>
      <c r="AD87" s="295"/>
      <c r="AM87" s="365"/>
      <c r="AN87" s="339"/>
      <c r="AO87" s="339"/>
    </row>
    <row r="88" spans="1:41" ht="21" hidden="1" customHeight="1">
      <c r="B88" s="339"/>
      <c r="C88" s="339"/>
      <c r="D88" s="339"/>
      <c r="E88" s="365"/>
      <c r="F88" s="365"/>
      <c r="G88" s="365"/>
      <c r="H88" s="365" t="e">
        <v>#VALUE!</v>
      </c>
      <c r="I88" s="406"/>
      <c r="J88" s="406"/>
      <c r="K88" s="332"/>
      <c r="L88" s="332"/>
      <c r="M88" s="365"/>
      <c r="N88" s="422"/>
      <c r="O88" s="422"/>
      <c r="P88" s="422"/>
      <c r="Q88" s="433"/>
      <c r="R88" s="422"/>
      <c r="S88" s="293"/>
      <c r="V88" s="413"/>
      <c r="W88" s="413"/>
      <c r="X88" s="413"/>
      <c r="Y88" s="413"/>
      <c r="Z88" s="413"/>
      <c r="AA88" s="364"/>
      <c r="AB88" s="339"/>
      <c r="AC88" s="339"/>
      <c r="AD88" s="339"/>
      <c r="AM88" s="365"/>
      <c r="AN88" s="339"/>
      <c r="AO88" s="339"/>
    </row>
    <row r="89" spans="1:41" ht="21" hidden="1" customHeight="1">
      <c r="B89" s="339"/>
      <c r="C89" s="339"/>
      <c r="D89" s="339"/>
      <c r="E89" s="365"/>
      <c r="F89" s="365"/>
      <c r="G89" s="365"/>
      <c r="H89" s="365" t="e">
        <v>#VALUE!</v>
      </c>
      <c r="I89" s="406"/>
      <c r="J89" s="406"/>
      <c r="K89" s="332"/>
      <c r="L89" s="332"/>
      <c r="M89" s="365"/>
      <c r="N89" s="422"/>
      <c r="O89" s="422"/>
      <c r="P89" s="422"/>
      <c r="Q89" s="433"/>
      <c r="R89" s="422"/>
      <c r="S89" s="293"/>
      <c r="V89" s="413"/>
      <c r="W89" s="413"/>
      <c r="X89" s="413"/>
      <c r="Y89" s="413"/>
      <c r="Z89" s="413"/>
      <c r="AA89" s="364"/>
      <c r="AB89" s="339"/>
      <c r="AC89" s="339"/>
      <c r="AD89" s="339"/>
      <c r="AM89" s="365"/>
      <c r="AN89" s="339"/>
      <c r="AO89" s="339"/>
    </row>
    <row r="90" spans="1:41" hidden="1">
      <c r="S90" s="293"/>
    </row>
    <row r="91" spans="1:41" ht="21" hidden="1" customHeight="1">
      <c r="A91" s="293"/>
      <c r="B91" s="339">
        <v>35</v>
      </c>
      <c r="C91" s="339" t="s">
        <v>369</v>
      </c>
      <c r="D91" s="339" t="e">
        <v>#N/A</v>
      </c>
      <c r="E91" s="356" t="e">
        <v>#N/A</v>
      </c>
      <c r="F91" s="356" t="e">
        <v>#N/A</v>
      </c>
      <c r="G91" s="356" t="e">
        <v>#N/A</v>
      </c>
      <c r="H91" s="356" t="e">
        <v>#N/A</v>
      </c>
      <c r="I91" s="339" t="e">
        <v>#N/A</v>
      </c>
      <c r="J91" s="339"/>
      <c r="K91" s="332" t="e">
        <v>#N/A</v>
      </c>
      <c r="L91" s="332" t="e">
        <v>#N/A</v>
      </c>
      <c r="M91" s="332" t="e">
        <v>#N/A</v>
      </c>
      <c r="N91" s="339"/>
      <c r="O91" s="339" t="e">
        <v>#N/A</v>
      </c>
      <c r="P91" s="339"/>
      <c r="Q91" s="336"/>
      <c r="R91" s="339" t="e">
        <v>#N/A</v>
      </c>
      <c r="S91" s="293"/>
      <c r="V91" s="413"/>
      <c r="W91" s="413"/>
      <c r="X91" s="413"/>
      <c r="Y91" s="413"/>
      <c r="Z91" s="413"/>
      <c r="AA91" s="364"/>
      <c r="AB91" s="339"/>
      <c r="AC91" s="339"/>
      <c r="AD91" s="339" t="e">
        <v>#N/A</v>
      </c>
      <c r="AM91" s="365"/>
      <c r="AN91" s="339"/>
      <c r="AO91" s="339"/>
    </row>
    <row r="92" spans="1:41" ht="21" hidden="1" customHeight="1">
      <c r="B92" s="339"/>
      <c r="C92" s="339" t="s">
        <v>370</v>
      </c>
      <c r="D92" s="339" t="e">
        <v>#N/A</v>
      </c>
      <c r="E92" s="356" t="e">
        <v>#N/A</v>
      </c>
      <c r="F92" s="356" t="e">
        <v>#N/A</v>
      </c>
      <c r="G92" s="356" t="e">
        <v>#N/A</v>
      </c>
      <c r="H92" s="356" t="e">
        <v>#N/A</v>
      </c>
      <c r="I92" s="339" t="s">
        <v>352</v>
      </c>
      <c r="J92" s="339"/>
      <c r="K92" s="332">
        <v>0</v>
      </c>
      <c r="L92" s="332">
        <v>0</v>
      </c>
      <c r="M92" s="332">
        <v>325</v>
      </c>
      <c r="N92" s="339"/>
      <c r="O92" s="339">
        <v>0</v>
      </c>
      <c r="P92" s="339"/>
      <c r="Q92" s="336"/>
      <c r="R92" s="339" t="s">
        <v>163</v>
      </c>
      <c r="S92" s="293"/>
      <c r="V92" s="413"/>
      <c r="W92" s="413"/>
      <c r="X92" s="413"/>
      <c r="Y92" s="413"/>
      <c r="Z92" s="413"/>
      <c r="AA92" s="364"/>
      <c r="AB92" s="339"/>
      <c r="AC92" s="339"/>
      <c r="AD92" s="339" t="s">
        <v>371</v>
      </c>
      <c r="AM92" s="365"/>
      <c r="AN92" s="339"/>
      <c r="AO92" s="339"/>
    </row>
    <row r="93" spans="1:41" ht="21" hidden="1" customHeight="1">
      <c r="B93" s="339"/>
      <c r="C93" s="339" t="s">
        <v>372</v>
      </c>
      <c r="D93" s="339" t="e">
        <v>#N/A</v>
      </c>
      <c r="E93" s="356" t="e">
        <v>#N/A</v>
      </c>
      <c r="F93" s="356" t="e">
        <v>#N/A</v>
      </c>
      <c r="G93" s="356" t="e">
        <v>#N/A</v>
      </c>
      <c r="H93" s="356" t="e">
        <v>#N/A</v>
      </c>
      <c r="I93" s="339" t="s">
        <v>352</v>
      </c>
      <c r="J93" s="339"/>
      <c r="K93" s="332">
        <v>0</v>
      </c>
      <c r="L93" s="332">
        <v>0</v>
      </c>
      <c r="M93" s="332">
        <v>2000</v>
      </c>
      <c r="N93" s="339"/>
      <c r="O93" s="339" t="s">
        <v>373</v>
      </c>
      <c r="P93" s="339"/>
      <c r="Q93" s="336"/>
      <c r="R93" s="339" t="s">
        <v>315</v>
      </c>
      <c r="S93" s="293"/>
      <c r="V93" s="413"/>
      <c r="W93" s="413"/>
      <c r="X93" s="413"/>
      <c r="Y93" s="413"/>
      <c r="Z93" s="413"/>
      <c r="AA93" s="364"/>
      <c r="AB93" s="339"/>
      <c r="AC93" s="339"/>
      <c r="AD93" s="339" t="s">
        <v>371</v>
      </c>
      <c r="AM93" s="365"/>
      <c r="AN93" s="339"/>
      <c r="AO93" s="339"/>
    </row>
    <row r="94" spans="1:41" ht="21" hidden="1" customHeight="1">
      <c r="B94" s="339"/>
      <c r="D94" s="295"/>
      <c r="K94" s="332"/>
      <c r="L94" s="332"/>
      <c r="M94" s="365"/>
      <c r="N94" s="422"/>
      <c r="O94" s="422"/>
      <c r="P94" s="422"/>
      <c r="Q94" s="433"/>
      <c r="R94" s="422"/>
      <c r="S94" s="293"/>
      <c r="V94" s="413"/>
      <c r="W94" s="413"/>
      <c r="X94" s="413"/>
      <c r="Y94" s="413"/>
      <c r="Z94" s="413"/>
      <c r="AA94" s="364"/>
      <c r="AB94" s="295"/>
      <c r="AC94" s="295"/>
      <c r="AD94" s="295"/>
      <c r="AM94" s="365"/>
      <c r="AN94" s="339"/>
      <c r="AO94" s="339"/>
    </row>
    <row r="95" spans="1:41" ht="21" hidden="1" customHeight="1">
      <c r="B95" s="339"/>
      <c r="D95" s="295"/>
      <c r="K95" s="332"/>
      <c r="L95" s="332"/>
      <c r="M95" s="365"/>
      <c r="N95" s="422"/>
      <c r="O95" s="422"/>
      <c r="P95" s="422"/>
      <c r="Q95" s="433"/>
      <c r="R95" s="422"/>
      <c r="S95" s="293"/>
      <c r="V95" s="413"/>
      <c r="W95" s="413"/>
      <c r="X95" s="413"/>
      <c r="Y95" s="413"/>
      <c r="Z95" s="413"/>
      <c r="AA95" s="364"/>
      <c r="AB95" s="295"/>
      <c r="AC95" s="295"/>
      <c r="AD95" s="295"/>
      <c r="AM95" s="365"/>
      <c r="AN95" s="339"/>
      <c r="AO95" s="339"/>
    </row>
    <row r="96" spans="1:41" ht="21" hidden="1" customHeight="1">
      <c r="B96" s="339"/>
      <c r="D96" s="295"/>
      <c r="K96" s="332"/>
      <c r="L96" s="332"/>
      <c r="M96" s="365"/>
      <c r="N96" s="422"/>
      <c r="O96" s="422"/>
      <c r="P96" s="422"/>
      <c r="Q96" s="433"/>
      <c r="R96" s="422"/>
      <c r="S96" s="293"/>
      <c r="V96" s="413"/>
      <c r="W96" s="413"/>
      <c r="X96" s="413"/>
      <c r="Y96" s="413"/>
      <c r="Z96" s="413"/>
      <c r="AA96" s="364"/>
      <c r="AB96" s="295"/>
      <c r="AC96" s="295"/>
      <c r="AD96" s="295"/>
      <c r="AM96" s="365"/>
      <c r="AN96" s="339"/>
      <c r="AO96" s="339"/>
    </row>
    <row r="97" spans="1:41" ht="21" hidden="1" customHeight="1">
      <c r="B97" s="339"/>
      <c r="D97" s="295"/>
      <c r="K97" s="332"/>
      <c r="L97" s="332"/>
      <c r="M97" s="365"/>
      <c r="N97" s="422"/>
      <c r="O97" s="422"/>
      <c r="P97" s="422"/>
      <c r="Q97" s="433"/>
      <c r="R97" s="422"/>
      <c r="S97" s="293"/>
      <c r="V97" s="413"/>
      <c r="W97" s="413"/>
      <c r="X97" s="413"/>
      <c r="Y97" s="413"/>
      <c r="Z97" s="413"/>
      <c r="AA97" s="364"/>
      <c r="AB97" s="295"/>
      <c r="AC97" s="295"/>
      <c r="AD97" s="295"/>
      <c r="AM97" s="365"/>
      <c r="AN97" s="339"/>
      <c r="AO97" s="339"/>
    </row>
    <row r="98" spans="1:41" ht="21" hidden="1" customHeight="1">
      <c r="B98" s="339"/>
      <c r="D98" s="295"/>
      <c r="K98" s="332"/>
      <c r="L98" s="332"/>
      <c r="M98" s="365"/>
      <c r="N98" s="422"/>
      <c r="O98" s="422"/>
      <c r="P98" s="422"/>
      <c r="Q98" s="433"/>
      <c r="R98" s="422"/>
      <c r="S98" s="293"/>
      <c r="V98" s="413"/>
      <c r="W98" s="413"/>
      <c r="X98" s="413"/>
      <c r="Y98" s="413"/>
      <c r="Z98" s="413"/>
      <c r="AA98" s="364"/>
      <c r="AB98" s="295"/>
      <c r="AC98" s="295"/>
      <c r="AD98" s="295"/>
      <c r="AM98" s="365"/>
      <c r="AN98" s="339"/>
      <c r="AO98" s="339"/>
    </row>
    <row r="99" spans="1:41" ht="21" hidden="1" customHeight="1">
      <c r="B99" s="339"/>
      <c r="C99" s="339"/>
      <c r="D99" s="339"/>
      <c r="E99" s="365"/>
      <c r="F99" s="365"/>
      <c r="G99" s="365"/>
      <c r="H99" s="365"/>
      <c r="I99" s="406"/>
      <c r="J99" s="406"/>
      <c r="K99" s="332"/>
      <c r="L99" s="332"/>
      <c r="M99" s="365"/>
      <c r="N99" s="422"/>
      <c r="O99" s="422"/>
      <c r="P99" s="422"/>
      <c r="Q99" s="433"/>
      <c r="R99" s="422"/>
      <c r="S99" s="293"/>
      <c r="V99" s="413"/>
      <c r="W99" s="413"/>
      <c r="X99" s="413"/>
      <c r="Y99" s="413"/>
      <c r="Z99" s="413"/>
      <c r="AA99" s="364"/>
      <c r="AB99" s="339"/>
      <c r="AC99" s="339"/>
      <c r="AD99" s="339"/>
      <c r="AM99" s="365"/>
      <c r="AN99" s="339"/>
      <c r="AO99" s="339"/>
    </row>
    <row r="100" spans="1:41" ht="21" hidden="1" customHeight="1">
      <c r="B100" s="330"/>
      <c r="C100" s="329"/>
      <c r="D100" s="408" t="s">
        <v>374</v>
      </c>
      <c r="E100" s="332"/>
      <c r="F100" s="409" t="e">
        <v>#N/A</v>
      </c>
      <c r="G100" s="409" t="e">
        <v>#N/A</v>
      </c>
      <c r="H100" s="409" t="e">
        <v>#VALUE!</v>
      </c>
      <c r="I100" s="410" t="s">
        <v>375</v>
      </c>
      <c r="J100" s="410"/>
      <c r="K100" s="434"/>
      <c r="L100" s="332"/>
      <c r="M100" s="332"/>
      <c r="N100" s="330"/>
      <c r="O100" s="330"/>
      <c r="P100" s="330"/>
      <c r="Q100" s="435"/>
      <c r="R100" s="330"/>
      <c r="S100" s="293"/>
      <c r="V100" s="413"/>
      <c r="W100" s="413"/>
      <c r="X100" s="413"/>
      <c r="Y100" s="413"/>
      <c r="Z100" s="413"/>
      <c r="AA100" s="364"/>
      <c r="AB100" s="330"/>
      <c r="AC100" s="330"/>
      <c r="AD100" s="330"/>
      <c r="AM100" s="365"/>
      <c r="AN100" s="339"/>
      <c r="AO100" s="339"/>
    </row>
    <row r="101" spans="1:41" ht="21" customHeight="1">
      <c r="B101" s="392"/>
      <c r="C101" s="393"/>
      <c r="D101" s="436"/>
      <c r="E101" s="394"/>
      <c r="F101" s="437"/>
      <c r="G101" s="437"/>
      <c r="H101" s="437"/>
      <c r="I101" s="438"/>
      <c r="J101" s="438"/>
      <c r="K101" s="439"/>
      <c r="L101" s="394"/>
      <c r="M101" s="394"/>
      <c r="N101" s="392"/>
      <c r="O101" s="392"/>
      <c r="P101" s="392"/>
      <c r="Q101" s="440"/>
      <c r="R101" s="392"/>
      <c r="S101" s="293"/>
      <c r="V101" s="413"/>
      <c r="W101" s="413"/>
      <c r="X101" s="413"/>
      <c r="Y101" s="413"/>
      <c r="Z101" s="413"/>
      <c r="AA101" s="364"/>
      <c r="AB101" s="392"/>
      <c r="AC101" s="392"/>
      <c r="AD101" s="392"/>
      <c r="AM101" s="386"/>
      <c r="AN101" s="383"/>
      <c r="AO101" s="383"/>
    </row>
    <row r="102" spans="1:41" ht="21" customHeight="1">
      <c r="B102" s="392"/>
      <c r="C102" s="393"/>
      <c r="D102" s="436"/>
      <c r="E102" s="394"/>
      <c r="F102" s="437"/>
      <c r="G102" s="437"/>
      <c r="H102" s="437"/>
      <c r="I102" s="438"/>
      <c r="J102" s="438"/>
      <c r="K102" s="439"/>
      <c r="L102" s="394"/>
      <c r="M102" s="394"/>
      <c r="N102" s="392"/>
      <c r="O102" s="392"/>
      <c r="P102" s="392"/>
      <c r="Q102" s="440"/>
      <c r="R102" s="392"/>
      <c r="S102" s="293"/>
      <c r="V102" s="413"/>
      <c r="W102" s="413"/>
      <c r="X102" s="413"/>
      <c r="Y102" s="413"/>
      <c r="Z102" s="413"/>
      <c r="AA102" s="364"/>
      <c r="AB102" s="392"/>
      <c r="AC102" s="392"/>
      <c r="AD102" s="392"/>
      <c r="AM102" s="386"/>
      <c r="AN102" s="383"/>
      <c r="AO102" s="383"/>
    </row>
    <row r="103" spans="1:41" ht="21" customHeight="1">
      <c r="B103" s="392"/>
      <c r="C103" s="393"/>
      <c r="D103" s="436"/>
      <c r="E103" s="394"/>
      <c r="F103" s="437"/>
      <c r="G103" s="437"/>
      <c r="H103" s="437"/>
      <c r="I103" s="438"/>
      <c r="J103" s="438"/>
      <c r="K103" s="439"/>
      <c r="L103" s="394"/>
      <c r="M103" s="394"/>
      <c r="N103" s="392"/>
      <c r="O103" s="392"/>
      <c r="P103" s="392"/>
      <c r="Q103" s="440"/>
      <c r="R103" s="392"/>
      <c r="S103" s="293"/>
      <c r="V103" s="413"/>
      <c r="W103" s="413"/>
      <c r="X103" s="413"/>
      <c r="Y103" s="413"/>
      <c r="Z103" s="413"/>
      <c r="AA103" s="364"/>
      <c r="AB103" s="392"/>
      <c r="AC103" s="392"/>
      <c r="AD103" s="392"/>
      <c r="AM103" s="386"/>
      <c r="AN103" s="383"/>
      <c r="AO103" s="383"/>
    </row>
    <row r="104" spans="1:41" ht="21" customHeight="1">
      <c r="B104" s="392"/>
      <c r="C104" s="393"/>
      <c r="D104" s="436"/>
      <c r="E104" s="394"/>
      <c r="F104" s="437"/>
      <c r="G104" s="437"/>
      <c r="H104" s="437"/>
      <c r="I104" s="438"/>
      <c r="J104" s="438"/>
      <c r="K104" s="439"/>
      <c r="L104" s="394"/>
      <c r="M104" s="394"/>
      <c r="N104" s="392"/>
      <c r="O104" s="392"/>
      <c r="P104" s="392"/>
      <c r="Q104" s="440"/>
      <c r="R104" s="392"/>
      <c r="S104" s="293"/>
      <c r="V104" s="413"/>
      <c r="W104" s="413"/>
      <c r="X104" s="413"/>
      <c r="Y104" s="413"/>
      <c r="Z104" s="413"/>
      <c r="AA104" s="364"/>
      <c r="AB104" s="392"/>
      <c r="AC104" s="392"/>
      <c r="AD104" s="392"/>
      <c r="AM104" s="386"/>
      <c r="AN104" s="383"/>
      <c r="AO104" s="383"/>
    </row>
    <row r="105" spans="1:41" ht="12" customHeight="1">
      <c r="B105" s="392"/>
      <c r="C105" s="297"/>
      <c r="D105" s="392"/>
      <c r="E105" s="394"/>
      <c r="F105" s="437"/>
      <c r="G105" s="437"/>
      <c r="H105" s="437"/>
      <c r="I105" s="392"/>
      <c r="J105" s="392"/>
      <c r="K105" s="394"/>
      <c r="L105" s="394"/>
      <c r="M105" s="394"/>
      <c r="N105" s="392"/>
      <c r="O105" s="392"/>
      <c r="P105" s="392"/>
      <c r="Q105" s="440"/>
      <c r="R105" s="392"/>
      <c r="S105" s="293"/>
      <c r="V105" s="413"/>
      <c r="W105" s="413"/>
      <c r="X105" s="413"/>
      <c r="Y105" s="413"/>
      <c r="Z105" s="413"/>
      <c r="AA105" s="364"/>
      <c r="AB105" s="392"/>
      <c r="AC105" s="392"/>
      <c r="AD105" s="392"/>
      <c r="AM105" s="386"/>
      <c r="AN105" s="383"/>
      <c r="AO105" s="383"/>
    </row>
    <row r="106" spans="1:41" ht="21" customHeight="1">
      <c r="B106" s="390" t="s">
        <v>328</v>
      </c>
      <c r="D106" s="392"/>
      <c r="E106" s="393"/>
      <c r="F106" s="393"/>
      <c r="G106" s="393"/>
      <c r="H106" s="393"/>
      <c r="I106" s="393"/>
      <c r="J106" s="393"/>
      <c r="K106" s="393"/>
      <c r="L106" s="394"/>
      <c r="M106" s="393"/>
      <c r="N106" s="392"/>
      <c r="O106" s="393"/>
      <c r="P106" s="393"/>
      <c r="Q106" s="395"/>
      <c r="R106" s="393"/>
      <c r="S106" s="293"/>
      <c r="T106" s="396"/>
      <c r="V106" s="329"/>
      <c r="W106" s="329"/>
      <c r="X106" s="329"/>
      <c r="Y106" s="329"/>
      <c r="Z106" s="329"/>
      <c r="AB106" s="392"/>
      <c r="AC106" s="392"/>
      <c r="AD106" s="392"/>
      <c r="AM106" s="396"/>
      <c r="AN106" s="396"/>
      <c r="AO106" s="396"/>
    </row>
    <row r="107" spans="1:41" ht="20.45" customHeight="1">
      <c r="B107" s="397" t="s">
        <v>329</v>
      </c>
      <c r="K107" s="337"/>
      <c r="L107" s="337"/>
      <c r="S107" s="293"/>
    </row>
    <row r="108" spans="1:41" ht="20.45" customHeight="1">
      <c r="B108" s="398" t="s">
        <v>330</v>
      </c>
      <c r="S108" s="293"/>
    </row>
    <row r="109" spans="1:41" ht="20.45" customHeight="1">
      <c r="B109" s="390" t="s">
        <v>331</v>
      </c>
      <c r="S109" s="293"/>
    </row>
    <row r="110" spans="1:41" s="442" customFormat="1" ht="20.45" customHeight="1">
      <c r="A110" s="441"/>
      <c r="B110" s="441"/>
      <c r="C110" s="441"/>
      <c r="D110" s="441"/>
      <c r="E110" s="441"/>
      <c r="F110" s="441"/>
      <c r="G110" s="441"/>
      <c r="H110" s="441"/>
      <c r="I110" s="441"/>
      <c r="J110" s="441"/>
      <c r="K110" s="441"/>
      <c r="L110" s="441"/>
      <c r="M110" s="441"/>
      <c r="N110" s="441"/>
      <c r="O110" s="441"/>
      <c r="P110" s="441"/>
      <c r="Q110" s="441"/>
      <c r="R110" s="441"/>
      <c r="V110" s="441"/>
      <c r="W110" s="441"/>
      <c r="X110" s="441"/>
      <c r="Y110" s="441"/>
      <c r="Z110" s="441"/>
      <c r="AB110" s="441"/>
      <c r="AC110" s="441"/>
      <c r="AD110" s="441"/>
    </row>
    <row r="111" spans="1:41" ht="21" hidden="1" customHeight="1">
      <c r="A111" s="295">
        <v>2</v>
      </c>
      <c r="B111" s="333"/>
      <c r="C111" s="443" t="s">
        <v>376</v>
      </c>
      <c r="D111" s="330"/>
      <c r="E111" s="329"/>
      <c r="F111" s="329"/>
      <c r="G111" s="329"/>
      <c r="H111" s="329"/>
      <c r="I111" s="419"/>
      <c r="J111" s="419"/>
      <c r="K111" s="332"/>
      <c r="L111" s="332"/>
      <c r="M111" s="332"/>
      <c r="N111" s="330"/>
      <c r="O111" s="444"/>
      <c r="P111" s="444"/>
      <c r="Q111" s="445"/>
      <c r="R111" s="444"/>
      <c r="S111" s="293"/>
      <c r="V111" s="332"/>
      <c r="W111" s="332"/>
      <c r="X111" s="332"/>
      <c r="Y111" s="332"/>
      <c r="Z111" s="332"/>
      <c r="AB111" s="419"/>
      <c r="AC111" s="419"/>
      <c r="AD111" s="419"/>
      <c r="AM111" s="338"/>
      <c r="AN111" s="339"/>
      <c r="AO111" s="339"/>
    </row>
    <row r="112" spans="1:41" ht="21" hidden="1" customHeight="1">
      <c r="A112" s="295">
        <v>2</v>
      </c>
      <c r="B112" s="339"/>
      <c r="C112" s="339" t="s">
        <v>377</v>
      </c>
      <c r="D112" s="339" t="s">
        <v>378</v>
      </c>
      <c r="E112" s="365">
        <v>10517</v>
      </c>
      <c r="F112" s="365">
        <v>0</v>
      </c>
      <c r="G112" s="365">
        <v>2682</v>
      </c>
      <c r="H112" s="365">
        <v>3000</v>
      </c>
      <c r="I112" s="419"/>
      <c r="J112" s="419"/>
      <c r="K112" s="332">
        <v>1110</v>
      </c>
      <c r="L112" s="332">
        <v>0</v>
      </c>
      <c r="M112" s="365">
        <v>1890</v>
      </c>
      <c r="N112" s="422" t="s">
        <v>379</v>
      </c>
      <c r="O112" s="446"/>
      <c r="P112" s="446"/>
      <c r="Q112" s="447"/>
      <c r="R112" s="446"/>
      <c r="S112" s="293"/>
      <c r="V112" s="413">
        <v>0.37</v>
      </c>
      <c r="W112" s="413"/>
      <c r="X112" s="413"/>
      <c r="Y112" s="413"/>
      <c r="Z112" s="413">
        <v>0.63</v>
      </c>
      <c r="AA112" s="364"/>
      <c r="AB112" s="419"/>
      <c r="AC112" s="419"/>
      <c r="AD112" s="339" t="s">
        <v>327</v>
      </c>
      <c r="AM112" s="356"/>
      <c r="AN112" s="339"/>
      <c r="AO112" s="339"/>
    </row>
    <row r="113" spans="1:41" ht="21" hidden="1" customHeight="1">
      <c r="A113" s="295">
        <v>2</v>
      </c>
      <c r="B113" s="339"/>
      <c r="C113" s="339" t="s">
        <v>380</v>
      </c>
      <c r="D113" s="339" t="s">
        <v>300</v>
      </c>
      <c r="E113" s="365">
        <v>550</v>
      </c>
      <c r="F113" s="365">
        <v>42</v>
      </c>
      <c r="G113" s="365">
        <v>50</v>
      </c>
      <c r="H113" s="365">
        <v>458</v>
      </c>
      <c r="I113" s="419"/>
      <c r="J113" s="419"/>
      <c r="K113" s="332">
        <v>0</v>
      </c>
      <c r="L113" s="332">
        <v>0</v>
      </c>
      <c r="M113" s="365">
        <v>458</v>
      </c>
      <c r="N113" s="330"/>
      <c r="O113" s="444"/>
      <c r="P113" s="444"/>
      <c r="Q113" s="445"/>
      <c r="R113" s="444"/>
      <c r="S113" s="293"/>
      <c r="V113" s="413">
        <v>0</v>
      </c>
      <c r="W113" s="413"/>
      <c r="X113" s="413"/>
      <c r="Y113" s="413"/>
      <c r="Z113" s="413">
        <v>1</v>
      </c>
      <c r="AA113" s="364">
        <v>1</v>
      </c>
      <c r="AB113" s="419"/>
      <c r="AC113" s="419"/>
      <c r="AD113" s="339" t="s">
        <v>327</v>
      </c>
      <c r="AM113" s="365"/>
      <c r="AN113" s="339"/>
      <c r="AO113" s="339"/>
    </row>
    <row r="114" spans="1:41" ht="21" hidden="1" customHeight="1">
      <c r="A114" s="295">
        <v>2</v>
      </c>
      <c r="B114" s="339"/>
      <c r="C114" s="339" t="s">
        <v>381</v>
      </c>
      <c r="D114" s="339" t="s">
        <v>216</v>
      </c>
      <c r="E114" s="365">
        <v>275</v>
      </c>
      <c r="F114" s="365">
        <v>0</v>
      </c>
      <c r="G114" s="365">
        <v>0</v>
      </c>
      <c r="H114" s="365">
        <v>275</v>
      </c>
      <c r="I114" s="419"/>
      <c r="J114" s="419"/>
      <c r="K114" s="332">
        <v>0</v>
      </c>
      <c r="L114" s="332">
        <v>0</v>
      </c>
      <c r="M114" s="365">
        <v>275</v>
      </c>
      <c r="N114" s="330"/>
      <c r="O114" s="444"/>
      <c r="P114" s="444"/>
      <c r="Q114" s="445"/>
      <c r="R114" s="444"/>
      <c r="S114" s="293"/>
      <c r="V114" s="413">
        <v>0</v>
      </c>
      <c r="W114" s="413"/>
      <c r="X114" s="413">
        <v>0</v>
      </c>
      <c r="Y114" s="413"/>
      <c r="Z114" s="413">
        <v>1</v>
      </c>
      <c r="AA114" s="364">
        <v>1</v>
      </c>
      <c r="AB114" s="419"/>
      <c r="AC114" s="419"/>
      <c r="AD114" s="339" t="s">
        <v>327</v>
      </c>
      <c r="AM114" s="365"/>
      <c r="AN114" s="339"/>
      <c r="AO114" s="339"/>
    </row>
    <row r="115" spans="1:41" ht="21" hidden="1" customHeight="1">
      <c r="A115" s="295">
        <v>2</v>
      </c>
      <c r="B115" s="339"/>
      <c r="C115" s="339" t="s">
        <v>382</v>
      </c>
      <c r="D115" s="339" t="s">
        <v>166</v>
      </c>
      <c r="E115" s="365">
        <v>400</v>
      </c>
      <c r="F115" s="365">
        <v>0</v>
      </c>
      <c r="G115" s="365">
        <v>200</v>
      </c>
      <c r="H115" s="365">
        <v>200</v>
      </c>
      <c r="I115" s="419"/>
      <c r="J115" s="419"/>
      <c r="K115" s="332">
        <v>0</v>
      </c>
      <c r="L115" s="332">
        <v>0</v>
      </c>
      <c r="M115" s="365">
        <v>200</v>
      </c>
      <c r="N115" s="422"/>
      <c r="O115" s="448"/>
      <c r="P115" s="448"/>
      <c r="Q115" s="449"/>
      <c r="R115" s="448"/>
      <c r="S115" s="293"/>
      <c r="V115" s="413">
        <v>0</v>
      </c>
      <c r="W115" s="413"/>
      <c r="X115" s="413"/>
      <c r="Y115" s="413"/>
      <c r="Z115" s="413">
        <v>1</v>
      </c>
      <c r="AA115" s="364">
        <v>1</v>
      </c>
      <c r="AB115" s="419"/>
      <c r="AC115" s="419"/>
      <c r="AD115" s="339" t="s">
        <v>327</v>
      </c>
      <c r="AM115" s="365"/>
      <c r="AN115" s="339"/>
      <c r="AO115" s="339"/>
    </row>
    <row r="116" spans="1:41" ht="21" hidden="1" customHeight="1">
      <c r="A116" s="295">
        <v>2</v>
      </c>
      <c r="B116" s="339"/>
      <c r="C116" s="339" t="s">
        <v>383</v>
      </c>
      <c r="D116" s="339" t="s">
        <v>216</v>
      </c>
      <c r="E116" s="365">
        <v>190</v>
      </c>
      <c r="F116" s="365">
        <v>0</v>
      </c>
      <c r="G116" s="365">
        <v>0</v>
      </c>
      <c r="H116" s="365">
        <v>190</v>
      </c>
      <c r="I116" s="419"/>
      <c r="J116" s="419"/>
      <c r="K116" s="332">
        <v>0</v>
      </c>
      <c r="L116" s="332">
        <v>0</v>
      </c>
      <c r="M116" s="365">
        <v>190</v>
      </c>
      <c r="N116" s="330"/>
      <c r="O116" s="444"/>
      <c r="P116" s="444"/>
      <c r="Q116" s="445"/>
      <c r="R116" s="444"/>
      <c r="S116" s="293"/>
      <c r="V116" s="413">
        <v>0</v>
      </c>
      <c r="W116" s="413"/>
      <c r="X116" s="413"/>
      <c r="Y116" s="413"/>
      <c r="Z116" s="413">
        <v>1</v>
      </c>
      <c r="AA116" s="364">
        <v>1</v>
      </c>
      <c r="AB116" s="419"/>
      <c r="AC116" s="419"/>
      <c r="AD116" s="339" t="s">
        <v>327</v>
      </c>
      <c r="AM116" s="365"/>
      <c r="AN116" s="339"/>
      <c r="AO116" s="339"/>
    </row>
    <row r="117" spans="1:41" ht="21" hidden="1" customHeight="1">
      <c r="A117" s="295">
        <v>2</v>
      </c>
      <c r="B117" s="339"/>
      <c r="C117" s="339"/>
      <c r="D117" s="339"/>
      <c r="E117" s="365"/>
      <c r="F117" s="365"/>
      <c r="G117" s="365"/>
      <c r="H117" s="365"/>
      <c r="I117" s="419"/>
      <c r="J117" s="419"/>
      <c r="K117" s="332"/>
      <c r="L117" s="332"/>
      <c r="M117" s="365"/>
      <c r="N117" s="422"/>
      <c r="O117" s="448"/>
      <c r="P117" s="448"/>
      <c r="Q117" s="449"/>
      <c r="R117" s="448"/>
      <c r="S117" s="293"/>
      <c r="V117" s="413"/>
      <c r="W117" s="413"/>
      <c r="X117" s="413"/>
      <c r="Y117" s="413"/>
      <c r="Z117" s="413">
        <v>1</v>
      </c>
      <c r="AA117" s="364">
        <v>1</v>
      </c>
      <c r="AB117" s="419"/>
      <c r="AC117" s="419"/>
      <c r="AD117" s="419"/>
      <c r="AM117" s="365"/>
      <c r="AN117" s="339"/>
      <c r="AO117" s="339"/>
    </row>
    <row r="118" spans="1:41" ht="21" hidden="1" customHeight="1">
      <c r="A118" s="295">
        <v>2</v>
      </c>
      <c r="B118" s="339"/>
      <c r="C118" s="339"/>
      <c r="D118" s="339"/>
      <c r="E118" s="365"/>
      <c r="F118" s="365"/>
      <c r="G118" s="365"/>
      <c r="H118" s="365"/>
      <c r="I118" s="419"/>
      <c r="J118" s="419"/>
      <c r="K118" s="332"/>
      <c r="L118" s="332"/>
      <c r="M118" s="365"/>
      <c r="N118" s="422"/>
      <c r="O118" s="448"/>
      <c r="P118" s="448"/>
      <c r="Q118" s="449"/>
      <c r="R118" s="448"/>
      <c r="S118" s="293"/>
      <c r="V118" s="413"/>
      <c r="W118" s="413"/>
      <c r="X118" s="413"/>
      <c r="Y118" s="413"/>
      <c r="Z118" s="413">
        <v>1</v>
      </c>
      <c r="AA118" s="364">
        <v>1</v>
      </c>
      <c r="AB118" s="419"/>
      <c r="AC118" s="419"/>
      <c r="AD118" s="419"/>
      <c r="AM118" s="365"/>
      <c r="AN118" s="339"/>
      <c r="AO118" s="339"/>
    </row>
    <row r="119" spans="1:41" ht="21" hidden="1" customHeight="1">
      <c r="A119" s="295">
        <v>2</v>
      </c>
      <c r="B119" s="339"/>
      <c r="C119" s="339"/>
      <c r="D119" s="339"/>
      <c r="E119" s="365"/>
      <c r="F119" s="365"/>
      <c r="G119" s="365"/>
      <c r="H119" s="365"/>
      <c r="I119" s="419"/>
      <c r="J119" s="419"/>
      <c r="K119" s="332"/>
      <c r="L119" s="332"/>
      <c r="M119" s="365"/>
      <c r="N119" s="330"/>
      <c r="O119" s="444"/>
      <c r="P119" s="444"/>
      <c r="Q119" s="445"/>
      <c r="R119" s="444"/>
      <c r="S119" s="293"/>
      <c r="V119" s="413"/>
      <c r="W119" s="413"/>
      <c r="X119" s="413"/>
      <c r="Y119" s="413"/>
      <c r="Z119" s="413">
        <v>1</v>
      </c>
      <c r="AA119" s="364">
        <v>1</v>
      </c>
      <c r="AB119" s="419"/>
      <c r="AC119" s="419"/>
      <c r="AD119" s="419"/>
      <c r="AM119" s="365"/>
      <c r="AN119" s="339"/>
      <c r="AO119" s="339"/>
    </row>
    <row r="120" spans="1:41" ht="21" hidden="1" customHeight="1">
      <c r="A120" s="295">
        <v>2</v>
      </c>
      <c r="B120" s="339"/>
      <c r="C120" s="339"/>
      <c r="D120" s="339"/>
      <c r="E120" s="365"/>
      <c r="F120" s="365"/>
      <c r="G120" s="365"/>
      <c r="H120" s="365"/>
      <c r="I120" s="419"/>
      <c r="J120" s="419"/>
      <c r="K120" s="332"/>
      <c r="L120" s="332"/>
      <c r="M120" s="365"/>
      <c r="N120" s="330"/>
      <c r="O120" s="444"/>
      <c r="P120" s="444"/>
      <c r="Q120" s="445"/>
      <c r="R120" s="444"/>
      <c r="S120" s="293"/>
      <c r="V120" s="413"/>
      <c r="W120" s="413"/>
      <c r="X120" s="413"/>
      <c r="Y120" s="413"/>
      <c r="Z120" s="413">
        <v>1</v>
      </c>
      <c r="AA120" s="364">
        <v>1</v>
      </c>
      <c r="AB120" s="419"/>
      <c r="AC120" s="419"/>
      <c r="AD120" s="419"/>
      <c r="AM120" s="365"/>
      <c r="AN120" s="339"/>
      <c r="AO120" s="339"/>
    </row>
    <row r="121" spans="1:41" ht="21" hidden="1" customHeight="1">
      <c r="A121" s="295">
        <v>2</v>
      </c>
      <c r="B121" s="339"/>
      <c r="C121" s="339"/>
      <c r="D121" s="339"/>
      <c r="E121" s="365"/>
      <c r="F121" s="365"/>
      <c r="G121" s="365"/>
      <c r="H121" s="365"/>
      <c r="I121" s="419"/>
      <c r="J121" s="419"/>
      <c r="K121" s="332"/>
      <c r="L121" s="332"/>
      <c r="M121" s="365"/>
      <c r="N121" s="443"/>
      <c r="O121" s="450"/>
      <c r="P121" s="450"/>
      <c r="Q121" s="451"/>
      <c r="R121" s="450"/>
      <c r="S121" s="293"/>
      <c r="V121" s="413"/>
      <c r="W121" s="413"/>
      <c r="X121" s="413"/>
      <c r="Y121" s="413"/>
      <c r="Z121" s="413">
        <v>1</v>
      </c>
      <c r="AA121" s="364">
        <v>1</v>
      </c>
      <c r="AB121" s="419"/>
      <c r="AC121" s="419"/>
      <c r="AD121" s="419"/>
      <c r="AM121" s="365"/>
      <c r="AN121" s="339"/>
      <c r="AO121" s="339"/>
    </row>
    <row r="122" spans="1:41" ht="21" hidden="1" customHeight="1">
      <c r="B122" s="330"/>
      <c r="C122" s="329"/>
      <c r="D122" s="330"/>
      <c r="E122" s="332"/>
      <c r="F122" s="332"/>
      <c r="G122" s="332"/>
      <c r="H122" s="332"/>
      <c r="I122" s="339"/>
      <c r="J122" s="339"/>
      <c r="K122" s="332"/>
      <c r="L122" s="332"/>
      <c r="M122" s="332"/>
      <c r="N122" s="330"/>
      <c r="O122" s="329"/>
      <c r="P122" s="329"/>
      <c r="Q122" s="413"/>
      <c r="R122" s="329"/>
      <c r="S122" s="293"/>
      <c r="V122" s="413"/>
      <c r="W122" s="413"/>
      <c r="X122" s="413"/>
      <c r="Y122" s="413"/>
      <c r="Z122" s="413"/>
      <c r="AB122" s="339"/>
      <c r="AC122" s="339"/>
      <c r="AD122" s="339"/>
      <c r="AM122" s="338"/>
      <c r="AN122" s="339"/>
      <c r="AO122" s="339"/>
    </row>
    <row r="123" spans="1:41" ht="21" hidden="1" customHeight="1">
      <c r="B123" s="330"/>
      <c r="C123" s="420" t="s">
        <v>384</v>
      </c>
      <c r="D123" s="330"/>
      <c r="E123" s="332"/>
      <c r="F123" s="409">
        <v>42</v>
      </c>
      <c r="G123" s="409">
        <v>2932</v>
      </c>
      <c r="H123" s="409">
        <v>4123</v>
      </c>
      <c r="I123" s="434" t="s">
        <v>385</v>
      </c>
      <c r="J123" s="434"/>
      <c r="K123" s="332"/>
      <c r="L123" s="332"/>
      <c r="M123" s="409" t="e">
        <v>#N/A</v>
      </c>
      <c r="N123" s="452" t="s">
        <v>386</v>
      </c>
      <c r="O123" s="409"/>
      <c r="P123" s="409"/>
      <c r="Q123" s="453"/>
      <c r="R123" s="409"/>
      <c r="S123" s="293"/>
      <c r="V123" s="413"/>
      <c r="W123" s="413"/>
      <c r="X123" s="413"/>
      <c r="Y123" s="413"/>
      <c r="Z123" s="413"/>
      <c r="AB123" s="339"/>
      <c r="AC123" s="339"/>
      <c r="AD123" s="339"/>
      <c r="AM123" s="338"/>
      <c r="AN123" s="339"/>
      <c r="AO123" s="338"/>
    </row>
    <row r="124" spans="1:41" ht="21" hidden="1" customHeight="1">
      <c r="B124" s="330"/>
      <c r="C124" s="420"/>
      <c r="D124" s="330"/>
      <c r="E124" s="332"/>
      <c r="F124" s="409"/>
      <c r="G124" s="409"/>
      <c r="H124" s="409"/>
      <c r="I124" s="332"/>
      <c r="J124" s="332"/>
      <c r="K124" s="332"/>
      <c r="L124" s="332"/>
      <c r="M124" s="332"/>
      <c r="N124" s="330"/>
      <c r="O124" s="329"/>
      <c r="P124" s="329"/>
      <c r="Q124" s="413"/>
      <c r="R124" s="329"/>
      <c r="S124" s="293"/>
      <c r="V124" s="413"/>
      <c r="W124" s="413"/>
      <c r="X124" s="413"/>
      <c r="Y124" s="413"/>
      <c r="Z124" s="413"/>
      <c r="AB124" s="339"/>
      <c r="AC124" s="339"/>
      <c r="AD124" s="339"/>
      <c r="AM124" s="338"/>
      <c r="AN124" s="339"/>
      <c r="AO124" s="338"/>
    </row>
    <row r="125" spans="1:41" ht="21" hidden="1" customHeight="1">
      <c r="B125" s="329"/>
      <c r="C125" s="420" t="s">
        <v>387</v>
      </c>
      <c r="D125" s="330"/>
      <c r="E125" s="332"/>
      <c r="F125" s="409" t="e">
        <v>#N/A</v>
      </c>
      <c r="G125" s="409" t="e">
        <v>#N/A</v>
      </c>
      <c r="H125" s="409" t="e">
        <v>#VALUE!</v>
      </c>
      <c r="I125" s="426" t="s">
        <v>367</v>
      </c>
      <c r="J125" s="426"/>
      <c r="K125" s="426"/>
      <c r="L125" s="329"/>
      <c r="M125" s="329"/>
      <c r="N125" s="330"/>
      <c r="O125" s="329"/>
      <c r="P125" s="329"/>
      <c r="Q125" s="413"/>
      <c r="R125" s="329"/>
      <c r="S125" s="293"/>
      <c r="V125" s="329"/>
      <c r="W125" s="329"/>
      <c r="X125" s="329"/>
      <c r="Y125" s="329"/>
      <c r="Z125" s="329"/>
      <c r="AB125" s="339"/>
      <c r="AC125" s="339"/>
      <c r="AD125" s="339"/>
      <c r="AM125" s="338"/>
      <c r="AN125" s="338"/>
      <c r="AO125" s="338"/>
    </row>
    <row r="126" spans="1:41" ht="21" hidden="1" customHeight="1">
      <c r="B126" s="329"/>
      <c r="C126" s="420" t="s">
        <v>388</v>
      </c>
      <c r="D126" s="330"/>
      <c r="E126" s="332"/>
      <c r="F126" s="332" t="e">
        <v>#N/A</v>
      </c>
      <c r="G126" s="332" t="e">
        <v>#N/A</v>
      </c>
      <c r="H126" s="332"/>
      <c r="I126" s="338"/>
      <c r="J126" s="338"/>
      <c r="K126" s="329"/>
      <c r="L126" s="329"/>
      <c r="M126" s="329"/>
      <c r="N126" s="330"/>
      <c r="O126" s="329"/>
      <c r="P126" s="329"/>
      <c r="Q126" s="413"/>
      <c r="R126" s="329"/>
      <c r="S126" s="293"/>
      <c r="V126" s="329"/>
      <c r="W126" s="329"/>
      <c r="X126" s="329"/>
      <c r="Y126" s="329"/>
      <c r="Z126" s="329"/>
      <c r="AB126" s="339"/>
      <c r="AC126" s="339"/>
      <c r="AD126" s="339"/>
      <c r="AM126" s="338"/>
      <c r="AN126" s="338"/>
      <c r="AO126" s="338"/>
    </row>
    <row r="127" spans="1:41" ht="21" hidden="1" customHeight="1">
      <c r="B127" s="329"/>
      <c r="C127" s="420" t="s">
        <v>389</v>
      </c>
      <c r="D127" s="330"/>
      <c r="E127" s="332"/>
      <c r="F127" s="409">
        <v>155853</v>
      </c>
      <c r="G127" s="409"/>
      <c r="H127" s="332"/>
      <c r="I127" s="338"/>
      <c r="J127" s="338"/>
      <c r="K127" s="329"/>
      <c r="L127" s="329"/>
      <c r="M127" s="329"/>
      <c r="N127" s="330"/>
      <c r="O127" s="329"/>
      <c r="P127" s="329"/>
      <c r="Q127" s="413"/>
      <c r="R127" s="329"/>
      <c r="S127" s="293"/>
      <c r="V127" s="329"/>
      <c r="W127" s="329"/>
      <c r="X127" s="329"/>
      <c r="Y127" s="329"/>
      <c r="Z127" s="329"/>
      <c r="AB127" s="339"/>
      <c r="AC127" s="339"/>
      <c r="AD127" s="339"/>
      <c r="AM127" s="338"/>
      <c r="AN127" s="338"/>
      <c r="AO127" s="338"/>
    </row>
    <row r="128" spans="1:41" ht="21" hidden="1" customHeight="1">
      <c r="B128" s="329"/>
      <c r="C128" s="329"/>
      <c r="D128" s="330"/>
      <c r="E128" s="329"/>
      <c r="F128" s="329"/>
      <c r="G128" s="329"/>
      <c r="H128" s="329"/>
      <c r="I128" s="338"/>
      <c r="J128" s="338"/>
      <c r="K128" s="329"/>
      <c r="L128" s="329"/>
      <c r="M128" s="329"/>
      <c r="N128" s="330"/>
      <c r="O128" s="329"/>
      <c r="P128" s="329"/>
      <c r="Q128" s="413"/>
      <c r="R128" s="329"/>
      <c r="S128" s="293"/>
      <c r="V128" s="329"/>
      <c r="W128" s="329"/>
      <c r="X128" s="329"/>
      <c r="Y128" s="329"/>
      <c r="Z128" s="329"/>
      <c r="AB128" s="339"/>
      <c r="AC128" s="339"/>
      <c r="AD128" s="339"/>
      <c r="AM128" s="338"/>
      <c r="AN128" s="338"/>
      <c r="AO128" s="338"/>
    </row>
    <row r="129" spans="2:41" ht="8.25" customHeight="1">
      <c r="B129" s="393"/>
      <c r="C129" s="393"/>
      <c r="D129" s="392"/>
      <c r="E129" s="393"/>
      <c r="F129" s="393"/>
      <c r="G129" s="393"/>
      <c r="H129" s="393"/>
      <c r="I129" s="393"/>
      <c r="J129" s="393"/>
      <c r="K129" s="393"/>
      <c r="L129" s="393"/>
      <c r="M129" s="393"/>
      <c r="N129" s="392"/>
      <c r="O129" s="393"/>
      <c r="P129" s="393"/>
      <c r="Q129" s="395"/>
      <c r="R129" s="393"/>
      <c r="S129" s="293"/>
      <c r="T129" s="396"/>
      <c r="V129" s="329"/>
      <c r="W129" s="329"/>
      <c r="X129" s="329"/>
      <c r="Y129" s="329"/>
      <c r="Z129" s="329"/>
      <c r="AB129" s="392"/>
      <c r="AC129" s="392"/>
      <c r="AD129" s="392"/>
      <c r="AM129" s="396"/>
      <c r="AN129" s="396"/>
      <c r="AO129" s="396"/>
    </row>
    <row r="130" spans="2:41" ht="13.5" thickBot="1"/>
    <row r="131" spans="2:41">
      <c r="Q131" s="455" t="s">
        <v>390</v>
      </c>
      <c r="R131" s="456"/>
      <c r="S131" s="457"/>
    </row>
    <row r="132" spans="2:41" ht="21" customHeight="1">
      <c r="B132" s="393"/>
      <c r="D132" s="392"/>
      <c r="E132" s="393"/>
      <c r="F132" s="393"/>
      <c r="G132" s="393"/>
      <c r="H132" s="393"/>
      <c r="I132" s="393"/>
      <c r="J132" s="393"/>
      <c r="K132" s="393"/>
      <c r="L132" s="393"/>
      <c r="M132" s="393"/>
      <c r="N132" s="392"/>
      <c r="O132" s="393"/>
      <c r="P132" s="393"/>
      <c r="Q132" s="458" t="s">
        <v>275</v>
      </c>
      <c r="R132" s="393"/>
      <c r="S132" s="396"/>
      <c r="T132" s="396"/>
      <c r="V132" s="329"/>
      <c r="W132" s="329"/>
      <c r="X132" s="329"/>
      <c r="Y132" s="329"/>
      <c r="Z132" s="329"/>
      <c r="AB132" s="392"/>
      <c r="AC132" s="392"/>
      <c r="AD132" s="392"/>
      <c r="AM132" s="396"/>
      <c r="AN132" s="396"/>
      <c r="AO132" s="396"/>
    </row>
    <row r="133" spans="2:41">
      <c r="B133" s="393"/>
      <c r="C133" s="393"/>
      <c r="D133" s="392"/>
      <c r="E133" s="393"/>
      <c r="F133" s="393"/>
      <c r="G133" s="393"/>
      <c r="H133" s="393"/>
      <c r="I133" s="393"/>
      <c r="J133" s="393"/>
      <c r="K133" s="393"/>
      <c r="L133" s="393"/>
      <c r="M133" s="393"/>
      <c r="N133" s="392"/>
      <c r="O133" s="393"/>
      <c r="P133" s="393"/>
      <c r="Q133" s="458" t="s">
        <v>305</v>
      </c>
      <c r="R133" s="393"/>
      <c r="S133" s="396"/>
      <c r="T133" s="396"/>
      <c r="V133" s="329"/>
      <c r="W133" s="329"/>
      <c r="X133" s="329"/>
      <c r="Y133" s="329"/>
      <c r="Z133" s="329"/>
      <c r="AB133" s="392"/>
      <c r="AC133" s="392"/>
      <c r="AD133" s="392"/>
      <c r="AM133" s="396"/>
      <c r="AN133" s="396"/>
      <c r="AO133" s="396"/>
    </row>
    <row r="134" spans="2:41">
      <c r="B134" s="393"/>
      <c r="C134" s="393"/>
      <c r="D134" s="392"/>
      <c r="E134" s="393"/>
      <c r="F134" s="393"/>
      <c r="G134" s="393"/>
      <c r="H134" s="393"/>
      <c r="I134" s="393"/>
      <c r="J134" s="393"/>
      <c r="K134" s="393"/>
      <c r="L134" s="393"/>
      <c r="M134" s="393"/>
      <c r="N134" s="392"/>
      <c r="O134" s="393"/>
      <c r="P134" s="393"/>
      <c r="Q134" s="458" t="s">
        <v>279</v>
      </c>
      <c r="R134" s="393"/>
      <c r="S134" s="396"/>
      <c r="T134" s="396"/>
      <c r="V134" s="329"/>
      <c r="W134" s="329"/>
      <c r="X134" s="329"/>
      <c r="Y134" s="329"/>
      <c r="Z134" s="329"/>
      <c r="AB134" s="392"/>
      <c r="AC134" s="392"/>
      <c r="AD134" s="392"/>
      <c r="AM134" s="396"/>
      <c r="AN134" s="396"/>
      <c r="AO134" s="396"/>
    </row>
    <row r="135" spans="2:41">
      <c r="B135" s="393"/>
      <c r="D135" s="392"/>
      <c r="E135" s="393"/>
      <c r="F135" s="393"/>
      <c r="G135" s="393"/>
      <c r="H135" s="393"/>
      <c r="I135" s="393"/>
      <c r="J135" s="393"/>
      <c r="K135" s="393"/>
      <c r="L135" s="393"/>
      <c r="M135" s="393"/>
      <c r="N135" s="392"/>
      <c r="O135" s="393"/>
      <c r="P135" s="393"/>
      <c r="Q135" s="458" t="s">
        <v>326</v>
      </c>
      <c r="R135" s="393"/>
      <c r="S135" s="396"/>
      <c r="T135" s="396"/>
      <c r="V135" s="329"/>
      <c r="W135" s="329"/>
      <c r="X135" s="329"/>
      <c r="Y135" s="329"/>
      <c r="Z135" s="329"/>
      <c r="AB135" s="392"/>
      <c r="AC135" s="392"/>
      <c r="AD135" s="392"/>
      <c r="AM135" s="396"/>
      <c r="AN135" s="396"/>
      <c r="AO135" s="396"/>
    </row>
    <row r="136" spans="2:41">
      <c r="B136" s="393"/>
      <c r="C136" s="393"/>
      <c r="D136" s="392"/>
      <c r="E136" s="393"/>
      <c r="F136" s="393"/>
      <c r="G136" s="393"/>
      <c r="H136" s="393"/>
      <c r="I136" s="393"/>
      <c r="J136" s="393"/>
      <c r="K136" s="459">
        <v>0</v>
      </c>
      <c r="L136" s="460">
        <v>0</v>
      </c>
      <c r="M136" s="393"/>
      <c r="N136" s="392"/>
      <c r="O136" s="393"/>
      <c r="P136" s="393"/>
      <c r="Q136" s="458" t="s">
        <v>358</v>
      </c>
      <c r="R136" s="393"/>
      <c r="S136" s="396"/>
      <c r="T136" s="396"/>
      <c r="V136" s="329"/>
      <c r="W136" s="329"/>
      <c r="X136" s="329"/>
      <c r="Y136" s="329"/>
      <c r="Z136" s="329"/>
      <c r="AB136" s="392"/>
      <c r="AC136" s="392"/>
      <c r="AD136" s="392"/>
      <c r="AM136" s="396"/>
      <c r="AN136" s="396"/>
      <c r="AO136" s="396"/>
    </row>
    <row r="137" spans="2:41">
      <c r="B137" s="393"/>
      <c r="C137" s="393"/>
      <c r="D137" s="392"/>
      <c r="E137" s="393"/>
      <c r="F137" s="393"/>
      <c r="G137" s="393"/>
      <c r="H137" s="393"/>
      <c r="I137" s="393"/>
      <c r="J137" s="393"/>
      <c r="K137" s="459">
        <v>14668</v>
      </c>
      <c r="L137" s="460">
        <v>19574.68</v>
      </c>
      <c r="M137" s="393"/>
      <c r="N137" s="392"/>
      <c r="O137" s="393"/>
      <c r="P137" s="393"/>
      <c r="Q137" s="461" t="s">
        <v>391</v>
      </c>
      <c r="R137" s="393"/>
      <c r="S137" s="396"/>
      <c r="T137" s="396"/>
      <c r="V137" s="329"/>
      <c r="W137" s="329"/>
      <c r="X137" s="329"/>
      <c r="Y137" s="329"/>
      <c r="Z137" s="329"/>
      <c r="AB137" s="392"/>
      <c r="AC137" s="392"/>
      <c r="AD137" s="392"/>
      <c r="AM137" s="396"/>
      <c r="AN137" s="396"/>
      <c r="AO137" s="396"/>
    </row>
    <row r="138" spans="2:41">
      <c r="B138" s="393"/>
      <c r="C138" s="393"/>
      <c r="D138" s="392"/>
      <c r="E138" s="393"/>
      <c r="F138" s="393"/>
      <c r="G138" s="393"/>
      <c r="H138" s="393"/>
      <c r="I138" s="393"/>
      <c r="J138" s="393"/>
      <c r="K138" s="459">
        <v>-14668</v>
      </c>
      <c r="L138" s="460">
        <v>-19574.68</v>
      </c>
      <c r="M138" s="393"/>
      <c r="N138" s="392"/>
      <c r="O138" s="393"/>
      <c r="P138" s="393"/>
      <c r="Q138" s="461" t="s">
        <v>315</v>
      </c>
      <c r="R138" s="393"/>
      <c r="S138" s="396"/>
      <c r="T138" s="396"/>
      <c r="AB138" s="392"/>
      <c r="AC138" s="392"/>
      <c r="AD138" s="392"/>
      <c r="AM138" s="396"/>
      <c r="AN138" s="396"/>
      <c r="AO138" s="396"/>
    </row>
    <row r="139" spans="2:41">
      <c r="Q139" s="461" t="s">
        <v>392</v>
      </c>
      <c r="R139" s="393"/>
      <c r="S139" s="462"/>
    </row>
    <row r="140" spans="2:41">
      <c r="Q140" s="461" t="s">
        <v>292</v>
      </c>
      <c r="R140" s="393"/>
      <c r="S140" s="462"/>
    </row>
    <row r="141" spans="2:41">
      <c r="Q141" s="461" t="s">
        <v>393</v>
      </c>
      <c r="R141" s="393"/>
      <c r="S141" s="462"/>
    </row>
    <row r="142" spans="2:41">
      <c r="Q142" s="461"/>
      <c r="R142" s="393"/>
      <c r="S142" s="462"/>
    </row>
    <row r="143" spans="2:41">
      <c r="Q143" s="461"/>
      <c r="R143" s="393"/>
      <c r="S143" s="462"/>
    </row>
    <row r="144" spans="2:41" ht="13.5" thickBot="1">
      <c r="Q144" s="463"/>
      <c r="R144" s="464"/>
      <c r="S144" s="465"/>
    </row>
  </sheetData>
  <mergeCells count="18">
    <mergeCell ref="O1:R1"/>
    <mergeCell ref="P2:R2"/>
    <mergeCell ref="B4:B7"/>
    <mergeCell ref="C4:C7"/>
    <mergeCell ref="D4:D7"/>
    <mergeCell ref="E4:M4"/>
    <mergeCell ref="E5:E7"/>
    <mergeCell ref="F5:F7"/>
    <mergeCell ref="G5:G7"/>
    <mergeCell ref="H5:H7"/>
    <mergeCell ref="I5:I7"/>
    <mergeCell ref="AM5:AO5"/>
    <mergeCell ref="K6:M6"/>
    <mergeCell ref="V6:Z6"/>
    <mergeCell ref="AM6:AO6"/>
    <mergeCell ref="AB4:AC6"/>
    <mergeCell ref="K5:M5"/>
    <mergeCell ref="Q5:R5"/>
  </mergeCells>
  <pageMargins left="1" right="0.5" top="0.5" bottom="0.75" header="0.5" footer="0.25"/>
  <pageSetup paperSize="17" scale="67" firstPageNumber="11" fitToHeight="2" orientation="landscape" useFirstPageNumber="1" r:id="rId1"/>
  <headerFooter alignWithMargins="0">
    <oddFooter>&amp;C&amp;"Arial,Regular"&amp;12Page &amp;P&amp;R&amp;"Arial,Regular"&amp;12Page &amp;P</oddFooter>
  </headerFooter>
  <rowBreaks count="1" manualBreakCount="1">
    <brk id="56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MIRR Template</vt:lpstr>
      <vt:lpstr>IRR Goal Seek Master</vt:lpstr>
      <vt:lpstr>Master calc Cap Bdgt Book</vt:lpstr>
      <vt:lpstr>Post Mortem Template</vt:lpstr>
      <vt:lpstr>Cap Bdgt Influenced by Hurdle R</vt:lpstr>
      <vt:lpstr>IRR_Percent</vt:lpstr>
      <vt:lpstr>Present_Value_Total</vt:lpstr>
      <vt:lpstr>'Cap Bdgt Influenced by Hurdle R'!Print_Area</vt:lpstr>
      <vt:lpstr>'IRR Goal Seek Master'!Print_Area</vt:lpstr>
      <vt:lpstr>'Master calc Cap Bdgt Book'!Print_Area</vt:lpstr>
      <vt:lpstr>'MIRR Template'!Print_Area</vt:lpstr>
      <vt:lpstr>'Post Mortem Template'!Print_Area</vt:lpstr>
      <vt:lpstr>'Cap Bdgt Influenced by Hurdle 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Thomson</dc:creator>
  <cp:lastModifiedBy>Marc D. Fletcher</cp:lastModifiedBy>
  <cp:lastPrinted>2013-07-02T20:44:08Z</cp:lastPrinted>
  <dcterms:created xsi:type="dcterms:W3CDTF">2011-09-30T16:13:28Z</dcterms:created>
  <dcterms:modified xsi:type="dcterms:W3CDTF">2015-02-05T21:29:20Z</dcterms:modified>
</cp:coreProperties>
</file>