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30" windowHeight="8430"/>
  </bookViews>
  <sheets>
    <sheet name="Rates &amp; Charges Illustration" sheetId="4" r:id="rId1"/>
  </sheets>
  <definedNames>
    <definedName name="_xlnm.Print_Area" localSheetId="0">'Rates &amp; Charges Illustration'!$A$1:$Y$103</definedName>
  </definedNames>
  <calcPr calcId="145621"/>
</workbook>
</file>

<file path=xl/calcChain.xml><?xml version="1.0" encoding="utf-8"?>
<calcChain xmlns="http://schemas.openxmlformats.org/spreadsheetml/2006/main">
  <c r="Y26" i="4" l="1"/>
  <c r="W26" i="4"/>
  <c r="U26" i="4"/>
  <c r="S26" i="4"/>
  <c r="Q26" i="4"/>
  <c r="O26" i="4"/>
  <c r="M26" i="4"/>
  <c r="K26" i="4"/>
  <c r="I26" i="4"/>
  <c r="G26" i="4"/>
  <c r="E26" i="4"/>
  <c r="C26" i="4"/>
  <c r="Y10" i="4"/>
  <c r="W10" i="4"/>
  <c r="U10" i="4"/>
  <c r="S10" i="4"/>
  <c r="Q10" i="4"/>
  <c r="O10" i="4"/>
  <c r="M10" i="4"/>
  <c r="K10" i="4"/>
  <c r="I10" i="4"/>
  <c r="G10" i="4"/>
  <c r="E10" i="4"/>
  <c r="C10" i="4"/>
  <c r="E39" i="4"/>
  <c r="E38" i="4"/>
  <c r="E33" i="4"/>
  <c r="K83" i="4" s="1"/>
  <c r="U99" i="4"/>
  <c r="U94" i="4"/>
  <c r="U96" i="4" s="1"/>
  <c r="W83" i="4" s="1"/>
  <c r="U101" i="4" l="1"/>
  <c r="W14" i="4"/>
  <c r="W17" i="4" s="1"/>
  <c r="W28" i="4" s="1"/>
  <c r="S14" i="4"/>
  <c r="O36" i="4"/>
  <c r="O42" i="4"/>
  <c r="O14" i="4" l="1"/>
  <c r="O44" i="4"/>
  <c r="O54" i="4" s="1"/>
  <c r="M14" i="4"/>
  <c r="E14" i="4"/>
  <c r="E36" i="4"/>
  <c r="Y14" i="4"/>
  <c r="I14" i="4"/>
  <c r="Q14" i="4"/>
  <c r="C14" i="4"/>
  <c r="K14" i="4"/>
  <c r="G14" i="4"/>
  <c r="O53" i="4" l="1"/>
  <c r="O57" i="4" s="1"/>
  <c r="O48" i="4"/>
  <c r="O49" i="4"/>
  <c r="U14" i="4"/>
  <c r="Y17" i="4"/>
  <c r="Y28" i="4" s="1"/>
  <c r="E40" i="4"/>
  <c r="C86" i="4"/>
  <c r="O51" i="4" l="1"/>
  <c r="O59" i="4" s="1"/>
  <c r="E42" i="4"/>
  <c r="E44" i="4" s="1"/>
  <c r="C55" i="4" s="1"/>
  <c r="C70" i="4" s="1"/>
  <c r="S15" i="4"/>
  <c r="S17" i="4" s="1"/>
  <c r="S28" i="4" s="1"/>
  <c r="O15" i="4"/>
  <c r="O17" i="4" s="1"/>
  <c r="O28" i="4" s="1"/>
  <c r="K15" i="4"/>
  <c r="K17" i="4" s="1"/>
  <c r="K28" i="4" s="1"/>
  <c r="G15" i="4"/>
  <c r="G17" i="4" s="1"/>
  <c r="G28" i="4" s="1"/>
  <c r="C15" i="4"/>
  <c r="Q15" i="4"/>
  <c r="Q17" i="4" s="1"/>
  <c r="Q28" i="4" s="1"/>
  <c r="M15" i="4"/>
  <c r="M17" i="4" s="1"/>
  <c r="M28" i="4" s="1"/>
  <c r="I15" i="4"/>
  <c r="I17" i="4" s="1"/>
  <c r="I28" i="4" s="1"/>
  <c r="E15" i="4"/>
  <c r="E17" i="4" s="1"/>
  <c r="E28" i="4" s="1"/>
  <c r="U15" i="4" l="1"/>
  <c r="U17" i="4" s="1"/>
  <c r="U28" i="4" s="1"/>
  <c r="K81" i="4"/>
  <c r="K85" i="4" s="1"/>
  <c r="C17" i="4"/>
  <c r="C28" i="4" s="1"/>
  <c r="C81" i="4" s="1"/>
  <c r="W81" i="4"/>
  <c r="W85" i="4" s="1"/>
  <c r="C54" i="4"/>
  <c r="C69" i="4" s="1"/>
  <c r="C53" i="4"/>
  <c r="C49" i="4"/>
  <c r="C64" i="4" s="1"/>
  <c r="C48" i="4"/>
  <c r="C63" i="4" l="1"/>
  <c r="C66" i="4" s="1"/>
  <c r="C51" i="4"/>
  <c r="C68" i="4"/>
  <c r="C72" i="4" s="1"/>
  <c r="C57" i="4"/>
  <c r="C74" i="4" l="1"/>
  <c r="C82" i="4"/>
  <c r="C59" i="4"/>
  <c r="C84" i="4" l="1"/>
  <c r="C88" i="4" s="1"/>
</calcChain>
</file>

<file path=xl/sharedStrings.xml><?xml version="1.0" encoding="utf-8"?>
<sst xmlns="http://schemas.openxmlformats.org/spreadsheetml/2006/main" count="117" uniqueCount="81">
  <si>
    <t xml:space="preserve"> </t>
  </si>
  <si>
    <t xml:space="preserve">             Restaurant</t>
  </si>
  <si>
    <t xml:space="preserve">    Landing Fee for Airlines:</t>
  </si>
  <si>
    <t xml:space="preserve">    Rental Rate (per sq. foot):</t>
  </si>
  <si>
    <t xml:space="preserve">    Sub-total:</t>
  </si>
  <si>
    <t xml:space="preserve">   Sub-Total:</t>
  </si>
  <si>
    <t xml:space="preserve">  Airlines</t>
  </si>
  <si>
    <t xml:space="preserve">  Airlines' Combined Percentage</t>
  </si>
  <si>
    <t xml:space="preserve">  Airlines Leased Premises:</t>
  </si>
  <si>
    <t xml:space="preserve">  Airlines' Share of Requirement</t>
  </si>
  <si>
    <t xml:space="preserve">  Airlines' Weight</t>
  </si>
  <si>
    <t xml:space="preserve">  Cargo</t>
  </si>
  <si>
    <t xml:space="preserve">  Cost Center Requirement</t>
  </si>
  <si>
    <t xml:space="preserve">  General Aviation</t>
  </si>
  <si>
    <t xml:space="preserve">  less:  Mechanical</t>
  </si>
  <si>
    <t xml:space="preserve">  Military</t>
  </si>
  <si>
    <t xml:space="preserve">  Stablization Factor</t>
  </si>
  <si>
    <t xml:space="preserve">  Total Terminal Space</t>
  </si>
  <si>
    <t xml:space="preserve">  Usable Square Footage:</t>
  </si>
  <si>
    <t xml:space="preserve">  Useable Terminal Square Footage</t>
  </si>
  <si>
    <t xml:space="preserve"> Sub-Total</t>
  </si>
  <si>
    <t>30</t>
  </si>
  <si>
    <t>31</t>
  </si>
  <si>
    <t>32</t>
  </si>
  <si>
    <t>33</t>
  </si>
  <si>
    <t>34</t>
  </si>
  <si>
    <t>35</t>
  </si>
  <si>
    <t>37</t>
  </si>
  <si>
    <t>39</t>
  </si>
  <si>
    <t>41</t>
  </si>
  <si>
    <t>42</t>
  </si>
  <si>
    <t>50</t>
  </si>
  <si>
    <t>Admin.</t>
  </si>
  <si>
    <t>Airfield</t>
  </si>
  <si>
    <t>Airpark</t>
  </si>
  <si>
    <t>Apron</t>
  </si>
  <si>
    <t>Cargo</t>
  </si>
  <si>
    <t>Cost Centers:</t>
  </si>
  <si>
    <t>Description</t>
  </si>
  <si>
    <t>Gen. Aviation</t>
  </si>
  <si>
    <t>Landed Weight From All Sources:</t>
  </si>
  <si>
    <t>Landings From All Sources</t>
  </si>
  <si>
    <t>Landings:</t>
  </si>
  <si>
    <t>Maint.</t>
  </si>
  <si>
    <t>Marketing</t>
  </si>
  <si>
    <t>Percentage Distribution - Landings</t>
  </si>
  <si>
    <t>Percentage Distribution - Weight</t>
  </si>
  <si>
    <t>Percentages Combined</t>
  </si>
  <si>
    <t>Smith Field</t>
  </si>
  <si>
    <t>Terminal</t>
  </si>
  <si>
    <t>TERMINAL SQUARE FOOTAGE</t>
  </si>
  <si>
    <t>Total</t>
  </si>
  <si>
    <t>Total:</t>
  </si>
  <si>
    <t>TERMINAL RENTAL RATE CALCULATION</t>
  </si>
  <si>
    <t>LANDING FEE CALCULATION</t>
  </si>
  <si>
    <t xml:space="preserve">  Percentage of Space Leased:</t>
  </si>
  <si>
    <t>&amp; Roads</t>
  </si>
  <si>
    <t>Parking</t>
  </si>
  <si>
    <t xml:space="preserve">    Capital Expenditure Subtotal</t>
  </si>
  <si>
    <t>Total Operating Expenses</t>
  </si>
  <si>
    <t>Operating Expenses for Rates &amp; Charges</t>
  </si>
  <si>
    <t>Cost Center Requirements</t>
  </si>
  <si>
    <t>LANDING FEE DATA</t>
  </si>
  <si>
    <t>Capital Expenditures</t>
  </si>
  <si>
    <t>Operating Expenses</t>
  </si>
  <si>
    <t xml:space="preserve">    Personal Services</t>
  </si>
  <si>
    <t xml:space="preserve">    Supplies</t>
  </si>
  <si>
    <t xml:space="preserve">    Contractual Services</t>
  </si>
  <si>
    <t xml:space="preserve">    Reimbursed Exp. &amp; Direct Payments</t>
  </si>
  <si>
    <t xml:space="preserve">    Allocation of Maintenance Cost Center</t>
  </si>
  <si>
    <t xml:space="preserve">    Allocation of Administration Cost Center</t>
  </si>
  <si>
    <t xml:space="preserve">    Debt Service Plus Coverage &amp; Reserve</t>
  </si>
  <si>
    <t xml:space="preserve">    Amortization of Capital Improvements</t>
  </si>
  <si>
    <t xml:space="preserve">    Capital Expenditures &lt; $75,000</t>
  </si>
  <si>
    <t>page 1 of 2</t>
  </si>
  <si>
    <t>page 2 of 2</t>
  </si>
  <si>
    <t xml:space="preserve">NOTE:  CALCULATIONS ARE FOR ILLUSTRATIVE </t>
  </si>
  <si>
    <t xml:space="preserve">              PURPOSES ONLY.  FIGURES DO NOT </t>
  </si>
  <si>
    <t xml:space="preserve">              REPRESENT ACTUAL OR FORECAST RESULTS.</t>
  </si>
  <si>
    <t>TERMINAL APRON FEE CALCULATION</t>
  </si>
  <si>
    <t xml:space="preserve">    Terminal Apron Fee: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</si>
</sst>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\ù\\_x0015_;;;"/>
  </numFmts>
  <fonts count="12" x14ac:knownFonts="1">
    <font>
      <sz val="12"/>
      <name val="Arial"/>
    </font>
    <font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3" fontId="8" fillId="2" borderId="0"/>
    <xf numFmtId="5" fontId="8" fillId="2" borderId="0"/>
    <xf numFmtId="0" fontId="8" fillId="2" borderId="0"/>
    <xf numFmtId="2" fontId="8" fillId="2" borderId="0"/>
    <xf numFmtId="0" fontId="1" fillId="2" borderId="0"/>
    <xf numFmtId="0" fontId="2" fillId="2" borderId="0"/>
    <xf numFmtId="0" fontId="8" fillId="2" borderId="1"/>
  </cellStyleXfs>
  <cellXfs count="45">
    <xf numFmtId="3" fontId="0" fillId="2" borderId="0" xfId="0" applyNumberFormat="1" applyFill="1"/>
    <xf numFmtId="3" fontId="0" fillId="2" borderId="2" xfId="0" applyNumberFormat="1" applyFill="1" applyBorder="1"/>
    <xf numFmtId="5" fontId="0" fillId="2" borderId="0" xfId="0" applyNumberFormat="1" applyFill="1"/>
    <xf numFmtId="10" fontId="0" fillId="2" borderId="0" xfId="0" applyNumberFormat="1" applyFill="1"/>
    <xf numFmtId="3" fontId="6" fillId="2" borderId="0" xfId="0" applyNumberFormat="1" applyFont="1" applyFill="1"/>
    <xf numFmtId="7" fontId="0" fillId="2" borderId="0" xfId="0" applyNumberFormat="1" applyFill="1"/>
    <xf numFmtId="10" fontId="0" fillId="2" borderId="2" xfId="0" applyNumberFormat="1" applyFill="1" applyBorder="1"/>
    <xf numFmtId="3" fontId="4" fillId="2" borderId="0" xfId="0" applyNumberFormat="1" applyFont="1" applyFill="1"/>
    <xf numFmtId="10" fontId="6" fillId="2" borderId="2" xfId="0" applyNumberFormat="1" applyFont="1" applyFill="1" applyBorder="1"/>
    <xf numFmtId="3" fontId="3" fillId="2" borderId="0" xfId="0" applyNumberFormat="1" applyFont="1" applyFill="1"/>
    <xf numFmtId="0" fontId="0" fillId="2" borderId="0" xfId="0" applyFill="1"/>
    <xf numFmtId="42" fontId="0" fillId="2" borderId="0" xfId="0" applyNumberFormat="1" applyFill="1"/>
    <xf numFmtId="37" fontId="0" fillId="2" borderId="0" xfId="0" applyNumberFormat="1" applyFill="1"/>
    <xf numFmtId="37" fontId="0" fillId="2" borderId="2" xfId="0" applyNumberFormat="1" applyFill="1" applyBorder="1"/>
    <xf numFmtId="37" fontId="0" fillId="2" borderId="3" xfId="0" applyNumberFormat="1" applyFill="1" applyBorder="1"/>
    <xf numFmtId="3" fontId="0" fillId="2" borderId="0" xfId="0" applyNumberFormat="1" applyFill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0" xfId="0" applyNumberFormat="1" applyFill="1" applyBorder="1"/>
    <xf numFmtId="37" fontId="6" fillId="2" borderId="2" xfId="0" applyNumberFormat="1" applyFont="1" applyFill="1" applyBorder="1"/>
    <xf numFmtId="42" fontId="6" fillId="2" borderId="0" xfId="0" applyNumberFormat="1" applyFont="1" applyFill="1"/>
    <xf numFmtId="44" fontId="4" fillId="2" borderId="3" xfId="0" applyNumberFormat="1" applyFont="1" applyFill="1" applyBorder="1"/>
    <xf numFmtId="3" fontId="5" fillId="2" borderId="2" xfId="0" applyNumberFormat="1" applyFont="1" applyFill="1" applyBorder="1" applyAlignment="1">
      <alignment horizontal="centerContinuous"/>
    </xf>
    <xf numFmtId="3" fontId="0" fillId="2" borderId="2" xfId="0" applyNumberFormat="1" applyFill="1" applyBorder="1" applyAlignment="1">
      <alignment horizontal="centerContinuous"/>
    </xf>
    <xf numFmtId="164" fontId="0" fillId="2" borderId="0" xfId="0" applyNumberFormat="1" applyFill="1" applyProtection="1"/>
    <xf numFmtId="3" fontId="7" fillId="2" borderId="0" xfId="0" applyNumberFormat="1" applyFont="1" applyFill="1"/>
    <xf numFmtId="3" fontId="7" fillId="2" borderId="2" xfId="0" applyNumberFormat="1" applyFont="1" applyFill="1" applyBorder="1" applyAlignment="1">
      <alignment horizontal="center"/>
    </xf>
    <xf numFmtId="41" fontId="0" fillId="2" borderId="0" xfId="0" applyNumberFormat="1" applyFill="1"/>
    <xf numFmtId="41" fontId="0" fillId="2" borderId="2" xfId="0" applyNumberFormat="1" applyFill="1" applyBorder="1"/>
    <xf numFmtId="3" fontId="3" fillId="2" borderId="0" xfId="0" applyNumberFormat="1" applyFont="1" applyFill="1" applyAlignment="1">
      <alignment horizontal="right"/>
    </xf>
    <xf numFmtId="37" fontId="7" fillId="2" borderId="0" xfId="0" applyNumberFormat="1" applyFont="1" applyFill="1"/>
    <xf numFmtId="37" fontId="7" fillId="2" borderId="2" xfId="0" applyNumberFormat="1" applyFont="1" applyFill="1" applyBorder="1"/>
    <xf numFmtId="42" fontId="7" fillId="2" borderId="0" xfId="0" applyNumberFormat="1" applyFont="1" applyFill="1"/>
    <xf numFmtId="10" fontId="0" fillId="2" borderId="0" xfId="0" applyNumberFormat="1" applyFill="1" applyProtection="1"/>
    <xf numFmtId="41" fontId="7" fillId="2" borderId="0" xfId="0" applyNumberFormat="1" applyFont="1" applyFill="1"/>
    <xf numFmtId="41" fontId="7" fillId="2" borderId="2" xfId="0" applyNumberFormat="1" applyFont="1" applyFill="1" applyBorder="1"/>
    <xf numFmtId="37" fontId="0" fillId="2" borderId="0" xfId="0" applyNumberFormat="1" applyFill="1" applyBorder="1"/>
    <xf numFmtId="41" fontId="7" fillId="2" borderId="0" xfId="0" applyNumberFormat="1" applyFont="1" applyFill="1" applyBorder="1"/>
    <xf numFmtId="3" fontId="3" fillId="2" borderId="2" xfId="0" applyNumberFormat="1" applyFont="1" applyFill="1" applyBorder="1"/>
    <xf numFmtId="3" fontId="3" fillId="2" borderId="0" xfId="0" applyNumberFormat="1" applyFont="1" applyFill="1" applyBorder="1"/>
    <xf numFmtId="3" fontId="9" fillId="2" borderId="0" xfId="0" applyNumberFormat="1" applyFont="1" applyFill="1"/>
    <xf numFmtId="3" fontId="10" fillId="2" borderId="0" xfId="0" applyNumberFormat="1" applyFont="1" applyFill="1"/>
    <xf numFmtId="3" fontId="9" fillId="2" borderId="0" xfId="0" applyNumberFormat="1" applyFont="1" applyFill="1" applyBorder="1"/>
    <xf numFmtId="3" fontId="11" fillId="2" borderId="2" xfId="0" applyNumberFormat="1" applyFont="1" applyFill="1" applyBorder="1" applyAlignment="1">
      <alignment horizontal="centerContinuous"/>
    </xf>
    <xf numFmtId="3" fontId="11" fillId="2" borderId="2" xfId="0" applyNumberFormat="1" applyFont="1" applyFill="1" applyBorder="1"/>
    <xf numFmtId="3" fontId="7" fillId="2" borderId="0" xfId="0" applyNumberFormat="1" applyFont="1" applyFill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view="pageLayout" topLeftCell="A55" zoomScaleNormal="100" workbookViewId="0">
      <selection activeCell="E90" sqref="E90"/>
    </sheetView>
  </sheetViews>
  <sheetFormatPr defaultRowHeight="15" x14ac:dyDescent="0.2"/>
  <cols>
    <col min="1" max="1" width="33.5546875" customWidth="1"/>
    <col min="2" max="2" width="2.44140625" customWidth="1"/>
    <col min="3" max="3" width="12.88671875" customWidth="1"/>
    <col min="4" max="4" width="0.88671875" customWidth="1"/>
    <col min="5" max="5" width="11" customWidth="1"/>
    <col min="6" max="6" width="0.5546875" customWidth="1"/>
    <col min="7" max="7" width="11.109375" customWidth="1"/>
    <col min="8" max="8" width="0.77734375" customWidth="1"/>
    <col min="9" max="9" width="11.21875" customWidth="1"/>
    <col min="10" max="10" width="0.77734375" customWidth="1"/>
    <col min="11" max="11" width="9.77734375" customWidth="1"/>
    <col min="12" max="12" width="0.77734375" customWidth="1"/>
    <col min="14" max="14" width="0.88671875" customWidth="1"/>
    <col min="15" max="15" width="11" customWidth="1"/>
    <col min="16" max="16" width="0.77734375" customWidth="1"/>
    <col min="17" max="17" width="10.77734375" customWidth="1"/>
    <col min="18" max="18" width="0.77734375" customWidth="1"/>
    <col min="19" max="19" width="8.88671875" customWidth="1"/>
    <col min="20" max="20" width="0.88671875" customWidth="1"/>
    <col min="21" max="21" width="11.5546875" customWidth="1"/>
    <col min="22" max="22" width="0.88671875" customWidth="1"/>
    <col min="23" max="23" width="11.77734375" customWidth="1"/>
    <col min="24" max="24" width="0.44140625" customWidth="1"/>
    <col min="25" max="25" width="11" customWidth="1"/>
    <col min="26" max="26" width="0.77734375" customWidth="1"/>
  </cols>
  <sheetData>
    <row r="1" spans="1:26" x14ac:dyDescent="0.2">
      <c r="C1" s="15" t="s">
        <v>37</v>
      </c>
      <c r="D1" s="15"/>
      <c r="E1" s="44" t="s">
        <v>49</v>
      </c>
      <c r="F1" s="15"/>
      <c r="G1" s="15"/>
      <c r="H1" s="15"/>
      <c r="I1" s="15" t="s">
        <v>57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2">
      <c r="C2" s="15" t="s">
        <v>33</v>
      </c>
      <c r="D2" s="15"/>
      <c r="E2" s="15" t="s">
        <v>35</v>
      </c>
      <c r="F2" s="15"/>
      <c r="G2" s="15" t="s">
        <v>49</v>
      </c>
      <c r="H2" s="15"/>
      <c r="I2" s="15" t="s">
        <v>56</v>
      </c>
      <c r="J2" s="15"/>
      <c r="K2" s="15" t="s">
        <v>34</v>
      </c>
      <c r="L2" s="15"/>
      <c r="M2" s="15" t="s">
        <v>39</v>
      </c>
      <c r="N2" s="15"/>
      <c r="O2" s="15" t="s">
        <v>36</v>
      </c>
      <c r="P2" s="15"/>
      <c r="Q2" s="15" t="s">
        <v>48</v>
      </c>
      <c r="R2" s="15"/>
      <c r="S2" s="15" t="s">
        <v>44</v>
      </c>
      <c r="T2" s="15"/>
      <c r="U2" s="15" t="s">
        <v>32</v>
      </c>
      <c r="V2" s="15"/>
      <c r="W2" s="15" t="s">
        <v>43</v>
      </c>
      <c r="X2" s="15"/>
      <c r="Y2" s="15"/>
      <c r="Z2" s="15"/>
    </row>
    <row r="3" spans="1:26" x14ac:dyDescent="0.2">
      <c r="A3" s="16" t="s">
        <v>38</v>
      </c>
      <c r="C3" s="16" t="s">
        <v>21</v>
      </c>
      <c r="D3" s="15"/>
      <c r="E3" s="16" t="s">
        <v>26</v>
      </c>
      <c r="F3" s="15"/>
      <c r="G3" s="16" t="s">
        <v>22</v>
      </c>
      <c r="H3" s="15"/>
      <c r="I3" s="16" t="s">
        <v>23</v>
      </c>
      <c r="J3" s="15"/>
      <c r="K3" s="16" t="s">
        <v>24</v>
      </c>
      <c r="L3" s="15"/>
      <c r="M3" s="16" t="s">
        <v>25</v>
      </c>
      <c r="N3" s="15"/>
      <c r="O3" s="16" t="s">
        <v>27</v>
      </c>
      <c r="P3" s="15"/>
      <c r="Q3" s="16" t="s">
        <v>28</v>
      </c>
      <c r="R3" s="15"/>
      <c r="S3" s="16" t="s">
        <v>31</v>
      </c>
      <c r="T3" s="15"/>
      <c r="U3" s="16" t="s">
        <v>29</v>
      </c>
      <c r="V3" s="15"/>
      <c r="W3" s="16" t="s">
        <v>30</v>
      </c>
      <c r="X3" s="15"/>
      <c r="Y3" s="25" t="s">
        <v>51</v>
      </c>
      <c r="Z3" s="15"/>
    </row>
    <row r="5" spans="1:26" ht="15.75" x14ac:dyDescent="0.25">
      <c r="A5" s="9" t="s">
        <v>64</v>
      </c>
    </row>
    <row r="6" spans="1:26" x14ac:dyDescent="0.2">
      <c r="A6" s="24" t="s">
        <v>65</v>
      </c>
      <c r="C6" s="31">
        <v>1213500</v>
      </c>
      <c r="D6" s="31"/>
      <c r="E6" s="31">
        <v>0</v>
      </c>
      <c r="F6" s="31"/>
      <c r="G6" s="31">
        <v>760000</v>
      </c>
      <c r="H6" s="31"/>
      <c r="I6" s="31">
        <v>450</v>
      </c>
      <c r="J6" s="31"/>
      <c r="K6" s="31">
        <v>0</v>
      </c>
      <c r="L6" s="31"/>
      <c r="M6" s="31">
        <v>0</v>
      </c>
      <c r="N6" s="31"/>
      <c r="O6" s="31">
        <v>0</v>
      </c>
      <c r="P6" s="31"/>
      <c r="Q6" s="31">
        <v>210000</v>
      </c>
      <c r="R6" s="31"/>
      <c r="S6" s="31">
        <v>250</v>
      </c>
      <c r="T6" s="31"/>
      <c r="U6" s="31">
        <v>1825000</v>
      </c>
      <c r="V6" s="31"/>
      <c r="W6" s="31">
        <v>1600000</v>
      </c>
      <c r="X6" s="31"/>
      <c r="Y6" s="31">
        <v>5609200</v>
      </c>
      <c r="Z6" s="11"/>
    </row>
    <row r="7" spans="1:26" x14ac:dyDescent="0.2">
      <c r="A7" s="24" t="s">
        <v>66</v>
      </c>
      <c r="C7" s="29">
        <v>274610</v>
      </c>
      <c r="D7" s="29"/>
      <c r="E7" s="29">
        <v>15000</v>
      </c>
      <c r="F7" s="29"/>
      <c r="G7" s="29">
        <v>144950</v>
      </c>
      <c r="H7" s="29"/>
      <c r="I7" s="29">
        <v>31100</v>
      </c>
      <c r="J7" s="29"/>
      <c r="K7" s="29">
        <v>0</v>
      </c>
      <c r="L7" s="29"/>
      <c r="M7" s="29">
        <v>12700</v>
      </c>
      <c r="N7" s="29"/>
      <c r="O7" s="29">
        <v>100</v>
      </c>
      <c r="P7" s="29"/>
      <c r="Q7" s="29">
        <v>154700</v>
      </c>
      <c r="R7" s="29"/>
      <c r="S7" s="29">
        <v>4300</v>
      </c>
      <c r="T7" s="29"/>
      <c r="U7" s="29">
        <v>54650</v>
      </c>
      <c r="V7" s="29"/>
      <c r="W7" s="29">
        <v>102250</v>
      </c>
      <c r="X7" s="29"/>
      <c r="Y7" s="29">
        <v>794360</v>
      </c>
      <c r="Z7" s="12"/>
    </row>
    <row r="8" spans="1:26" x14ac:dyDescent="0.2">
      <c r="A8" s="24" t="s">
        <v>67</v>
      </c>
      <c r="C8" s="30">
        <v>146200</v>
      </c>
      <c r="D8" s="29"/>
      <c r="E8" s="30">
        <v>14000</v>
      </c>
      <c r="F8" s="29"/>
      <c r="G8" s="30">
        <v>458800</v>
      </c>
      <c r="H8" s="29"/>
      <c r="I8" s="30">
        <v>375700</v>
      </c>
      <c r="J8" s="29"/>
      <c r="K8" s="30">
        <v>24050</v>
      </c>
      <c r="L8" s="29"/>
      <c r="M8" s="30">
        <v>48000</v>
      </c>
      <c r="N8" s="29"/>
      <c r="O8" s="30">
        <v>263000</v>
      </c>
      <c r="P8" s="29"/>
      <c r="Q8" s="30">
        <v>108750</v>
      </c>
      <c r="R8" s="29"/>
      <c r="S8" s="30">
        <v>579780</v>
      </c>
      <c r="T8" s="29"/>
      <c r="U8" s="30">
        <v>647600</v>
      </c>
      <c r="V8" s="29"/>
      <c r="W8" s="30">
        <v>78550</v>
      </c>
      <c r="X8" s="29"/>
      <c r="Y8" s="30">
        <v>2744430</v>
      </c>
      <c r="Z8" s="12"/>
    </row>
    <row r="9" spans="1:26" x14ac:dyDescent="0.2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x14ac:dyDescent="0.25">
      <c r="A10" s="9" t="s">
        <v>59</v>
      </c>
      <c r="C10" s="12">
        <f>SUM(C6:C9)</f>
        <v>1634310</v>
      </c>
      <c r="D10" s="10"/>
      <c r="E10" s="12">
        <f>SUM(E6:E9)</f>
        <v>29000</v>
      </c>
      <c r="F10" s="12"/>
      <c r="G10" s="12">
        <f>SUM(G6:G9)</f>
        <v>1363750</v>
      </c>
      <c r="H10" s="12"/>
      <c r="I10" s="12">
        <f>SUM(I6:I9)</f>
        <v>407250</v>
      </c>
      <c r="J10" s="12"/>
      <c r="K10" s="12">
        <f>SUM(K6:K9)</f>
        <v>24050</v>
      </c>
      <c r="L10" s="12"/>
      <c r="M10" s="12">
        <f>SUM(M6:M9)</f>
        <v>60700</v>
      </c>
      <c r="N10" s="12"/>
      <c r="O10" s="12">
        <f>SUM(O6:O9)</f>
        <v>263100</v>
      </c>
      <c r="P10" s="12"/>
      <c r="Q10" s="12">
        <f>SUM(Q6:Q9)</f>
        <v>473450</v>
      </c>
      <c r="R10" s="12"/>
      <c r="S10" s="12">
        <f>SUM(S6:S9)</f>
        <v>584330</v>
      </c>
      <c r="T10" s="12"/>
      <c r="U10" s="12">
        <f>SUM(U6:U9)</f>
        <v>2527250</v>
      </c>
      <c r="V10" s="12"/>
      <c r="W10" s="12">
        <f>SUM(W6:W9)</f>
        <v>1780800</v>
      </c>
      <c r="X10" s="12"/>
      <c r="Y10" s="12">
        <f>SUM(Y6:Y9)</f>
        <v>9147990</v>
      </c>
      <c r="Z10" s="12"/>
    </row>
    <row r="11" spans="1:26" x14ac:dyDescent="0.2">
      <c r="A11" s="24" t="s">
        <v>68</v>
      </c>
      <c r="C11" s="12">
        <v>-335353</v>
      </c>
      <c r="D11" s="10"/>
      <c r="E11" s="12">
        <v>0</v>
      </c>
      <c r="F11" s="12"/>
      <c r="G11" s="12">
        <v>-66175</v>
      </c>
      <c r="H11" s="12"/>
      <c r="I11" s="12">
        <v>0</v>
      </c>
      <c r="J11" s="12"/>
      <c r="K11" s="12">
        <v>0</v>
      </c>
      <c r="L11" s="12"/>
      <c r="M11" s="12">
        <v>0</v>
      </c>
      <c r="N11" s="12"/>
      <c r="O11" s="12">
        <v>0</v>
      </c>
      <c r="P11" s="12"/>
      <c r="Q11" s="12">
        <v>0</v>
      </c>
      <c r="R11" s="12"/>
      <c r="S11" s="12">
        <v>0</v>
      </c>
      <c r="T11" s="12"/>
      <c r="U11" s="12">
        <v>0</v>
      </c>
      <c r="V11" s="12"/>
      <c r="W11" s="12">
        <v>0</v>
      </c>
      <c r="X11" s="12"/>
      <c r="Y11" s="12">
        <v>-401528</v>
      </c>
      <c r="Z11" s="12"/>
    </row>
    <row r="12" spans="1:26" x14ac:dyDescent="0.2">
      <c r="A12" s="24" t="s">
        <v>69</v>
      </c>
      <c r="C12" s="13">
        <v>627619</v>
      </c>
      <c r="D12" s="12"/>
      <c r="E12" s="13">
        <v>17221</v>
      </c>
      <c r="F12" s="12"/>
      <c r="G12" s="13">
        <v>387171</v>
      </c>
      <c r="H12" s="12"/>
      <c r="I12" s="13">
        <v>524470</v>
      </c>
      <c r="J12" s="12"/>
      <c r="K12" s="13">
        <v>2153</v>
      </c>
      <c r="L12" s="12"/>
      <c r="M12" s="13">
        <v>61319</v>
      </c>
      <c r="N12" s="12"/>
      <c r="O12" s="13">
        <v>60388</v>
      </c>
      <c r="P12" s="12"/>
      <c r="Q12" s="13">
        <v>99134</v>
      </c>
      <c r="R12" s="12"/>
      <c r="S12" s="13">
        <v>0</v>
      </c>
      <c r="T12" s="12"/>
      <c r="U12" s="13">
        <v>1325</v>
      </c>
      <c r="V12" s="12"/>
      <c r="W12" s="13">
        <v>-1780800</v>
      </c>
      <c r="X12" s="12"/>
      <c r="Y12" s="13">
        <v>0</v>
      </c>
      <c r="Z12" s="12"/>
    </row>
    <row r="13" spans="1:26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t="s">
        <v>4</v>
      </c>
      <c r="C14" s="12">
        <f>SUM(C10+C11+C12)</f>
        <v>1926576</v>
      </c>
      <c r="D14" s="12"/>
      <c r="E14" s="12">
        <f>SUM(E10+E11+E12)</f>
        <v>46221</v>
      </c>
      <c r="F14" s="12"/>
      <c r="G14" s="12">
        <f>SUM(G10+G11+G12)</f>
        <v>1684746</v>
      </c>
      <c r="H14" s="12"/>
      <c r="I14" s="12">
        <f>SUM(I10+I11+I12)</f>
        <v>931720</v>
      </c>
      <c r="J14" s="12"/>
      <c r="K14" s="12">
        <f>SUM(K10+K11+K12)</f>
        <v>26203</v>
      </c>
      <c r="L14" s="12"/>
      <c r="M14" s="12">
        <f>SUM(M10+M11+M12)</f>
        <v>122019</v>
      </c>
      <c r="N14" s="12"/>
      <c r="O14" s="12">
        <f>SUM(O10+O11+O12)</f>
        <v>323488</v>
      </c>
      <c r="P14" s="12"/>
      <c r="Q14" s="12">
        <f>SUM(Q10+Q11+Q12)</f>
        <v>572584</v>
      </c>
      <c r="R14" s="12"/>
      <c r="S14" s="12">
        <f>SUM(S10+S11+S12)</f>
        <v>584330</v>
      </c>
      <c r="T14" s="12"/>
      <c r="U14" s="12">
        <f>SUM(U10+U11+U12)</f>
        <v>2528575</v>
      </c>
      <c r="V14" s="12"/>
      <c r="W14" s="12">
        <f>SUM(W10+W11+W12)</f>
        <v>0</v>
      </c>
      <c r="X14" s="12"/>
      <c r="Y14" s="12">
        <f>SUM(Y10+Y11+Y12)</f>
        <v>8746462</v>
      </c>
      <c r="Z14" s="12"/>
    </row>
    <row r="15" spans="1:26" x14ac:dyDescent="0.2">
      <c r="A15" s="24" t="s">
        <v>70</v>
      </c>
      <c r="C15" s="13">
        <f>ROUND($U$14*(C14/($Y$14-$U$14)),0)</f>
        <v>783464</v>
      </c>
      <c r="D15" s="12"/>
      <c r="E15" s="13">
        <f>ROUND($U$14*(E14/($Y$14-$U$14)),0)</f>
        <v>18796</v>
      </c>
      <c r="F15" s="12"/>
      <c r="G15" s="13">
        <f>ROUND($U$14*(G14/($Y$14-$U$14)),0)</f>
        <v>685121</v>
      </c>
      <c r="H15" s="12"/>
      <c r="I15" s="13">
        <f>ROUND($U$14*(I14/($Y$14-$U$14)),0)</f>
        <v>378895</v>
      </c>
      <c r="J15" s="12"/>
      <c r="K15" s="13">
        <f>ROUND($U$14*(K14/($Y$14-$U$14)),0)</f>
        <v>10656</v>
      </c>
      <c r="L15" s="12"/>
      <c r="M15" s="13">
        <f>ROUND($U$14*(M14/($Y$14-$U$14)),0)</f>
        <v>49620</v>
      </c>
      <c r="N15" s="12"/>
      <c r="O15" s="13">
        <f>ROUND($U$14*(O14/($Y$14-$U$14)),0)</f>
        <v>131550</v>
      </c>
      <c r="P15" s="12"/>
      <c r="Q15" s="13">
        <f>ROUND($U$14*(Q14/($Y$14-$U$14)),0)</f>
        <v>232848</v>
      </c>
      <c r="R15" s="12"/>
      <c r="S15" s="13">
        <f>ROUND($U$14*(S14/($Y$14-$U$14)),0)</f>
        <v>237624</v>
      </c>
      <c r="T15" s="12"/>
      <c r="U15" s="13">
        <f>-(SUM(C15:T15))-1</f>
        <v>-2528575</v>
      </c>
      <c r="V15" s="12"/>
      <c r="W15" s="13"/>
      <c r="X15" s="12"/>
      <c r="Y15" s="13"/>
      <c r="Z15" s="12"/>
    </row>
    <row r="16" spans="1:26" x14ac:dyDescent="0.2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x14ac:dyDescent="0.25">
      <c r="A17" s="9" t="s">
        <v>60</v>
      </c>
      <c r="C17" s="12">
        <f>SUM(C14:C15)</f>
        <v>2710040</v>
      </c>
      <c r="D17" s="12"/>
      <c r="E17" s="12">
        <f>SUM(E14:E15)</f>
        <v>65017</v>
      </c>
      <c r="F17" s="12"/>
      <c r="G17" s="12">
        <f>SUM(G14:G15)</f>
        <v>2369867</v>
      </c>
      <c r="H17" s="12"/>
      <c r="I17" s="12">
        <f>SUM(I14:I15)</f>
        <v>1310615</v>
      </c>
      <c r="J17" s="12"/>
      <c r="K17" s="12">
        <f>SUM(K14:K15)</f>
        <v>36859</v>
      </c>
      <c r="L17" s="12"/>
      <c r="M17" s="12">
        <f>SUM(M14:M15)</f>
        <v>171639</v>
      </c>
      <c r="N17" s="12"/>
      <c r="O17" s="12">
        <f>SUM(O14:O15)</f>
        <v>455038</v>
      </c>
      <c r="P17" s="12"/>
      <c r="Q17" s="12">
        <f>SUM(Q14:Q15)</f>
        <v>805432</v>
      </c>
      <c r="R17" s="12"/>
      <c r="S17" s="12">
        <f>SUM(S14:S15)</f>
        <v>821954</v>
      </c>
      <c r="T17" s="12"/>
      <c r="U17" s="12">
        <f>SUM(U14:U15)</f>
        <v>0</v>
      </c>
      <c r="V17" s="12"/>
      <c r="W17" s="12">
        <f>SUM(W14:W15)</f>
        <v>0</v>
      </c>
      <c r="X17" s="12"/>
      <c r="Y17" s="12">
        <f>SUM(Y14:Y15)</f>
        <v>8746462</v>
      </c>
      <c r="Z17" s="12"/>
    </row>
    <row r="18" spans="1:26" ht="15.75" x14ac:dyDescent="0.25">
      <c r="A18" s="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x14ac:dyDescent="0.25">
      <c r="A19" s="9" t="s">
        <v>63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24" t="s">
        <v>71</v>
      </c>
      <c r="C20" s="12">
        <v>0</v>
      </c>
      <c r="D20" s="12"/>
      <c r="E20" s="12">
        <v>0</v>
      </c>
      <c r="F20" s="12"/>
      <c r="G20" s="12">
        <v>1097064</v>
      </c>
      <c r="H20" s="12"/>
      <c r="I20" s="12">
        <v>152623</v>
      </c>
      <c r="J20" s="12"/>
      <c r="K20" s="12">
        <v>0</v>
      </c>
      <c r="L20" s="12"/>
      <c r="M20" s="12">
        <v>0</v>
      </c>
      <c r="N20" s="12"/>
      <c r="O20" s="12">
        <v>2025300</v>
      </c>
      <c r="P20" s="12"/>
      <c r="Q20" s="12">
        <v>0</v>
      </c>
      <c r="R20" s="12"/>
      <c r="S20" s="12">
        <v>0</v>
      </c>
      <c r="T20" s="12"/>
      <c r="U20" s="12">
        <v>0</v>
      </c>
      <c r="V20" s="12"/>
      <c r="W20" s="12">
        <v>0</v>
      </c>
      <c r="X20" s="12"/>
      <c r="Y20" s="12">
        <v>3274987</v>
      </c>
      <c r="Z20" s="12"/>
    </row>
    <row r="21" spans="1:26" x14ac:dyDescent="0.2">
      <c r="A21" s="24" t="s">
        <v>72</v>
      </c>
      <c r="C21" s="12">
        <v>680000</v>
      </c>
      <c r="D21" s="12"/>
      <c r="E21" s="12">
        <v>32000</v>
      </c>
      <c r="F21" s="12"/>
      <c r="G21" s="12">
        <v>220000</v>
      </c>
      <c r="H21" s="12"/>
      <c r="I21" s="12">
        <v>560000</v>
      </c>
      <c r="J21" s="12"/>
      <c r="K21" s="12">
        <v>310000</v>
      </c>
      <c r="L21" s="12"/>
      <c r="M21" s="12">
        <v>281000</v>
      </c>
      <c r="N21" s="12"/>
      <c r="O21" s="12">
        <v>385000</v>
      </c>
      <c r="P21" s="12"/>
      <c r="Q21" s="12">
        <v>270000</v>
      </c>
      <c r="R21" s="12"/>
      <c r="S21" s="12">
        <v>13000</v>
      </c>
      <c r="T21" s="12"/>
      <c r="U21" s="12">
        <v>0</v>
      </c>
      <c r="V21" s="12"/>
      <c r="W21" s="12">
        <v>81650</v>
      </c>
      <c r="X21" s="12"/>
      <c r="Y21" s="12">
        <v>2832650</v>
      </c>
      <c r="Z21" s="12"/>
    </row>
    <row r="22" spans="1:26" x14ac:dyDescent="0.2">
      <c r="A22" s="24" t="s">
        <v>73</v>
      </c>
      <c r="C22" s="12">
        <v>56000</v>
      </c>
      <c r="D22" s="12"/>
      <c r="E22" s="12">
        <v>0</v>
      </c>
      <c r="F22" s="12"/>
      <c r="G22" s="12">
        <v>131000</v>
      </c>
      <c r="H22" s="12"/>
      <c r="I22" s="12">
        <v>38500</v>
      </c>
      <c r="J22" s="12"/>
      <c r="K22" s="12">
        <v>23000</v>
      </c>
      <c r="L22" s="12"/>
      <c r="M22" s="12">
        <v>0</v>
      </c>
      <c r="N22" s="12"/>
      <c r="O22" s="12">
        <v>0</v>
      </c>
      <c r="P22" s="12"/>
      <c r="Q22" s="12">
        <v>27000</v>
      </c>
      <c r="R22" s="12"/>
      <c r="S22" s="12">
        <v>0</v>
      </c>
      <c r="T22" s="12"/>
      <c r="U22" s="12">
        <v>56800</v>
      </c>
      <c r="V22" s="12"/>
      <c r="W22" s="12">
        <v>67000</v>
      </c>
      <c r="X22" s="12"/>
      <c r="Y22" s="12">
        <v>399300</v>
      </c>
      <c r="Z22" s="12"/>
    </row>
    <row r="23" spans="1:26" x14ac:dyDescent="0.2">
      <c r="A23" s="24" t="s">
        <v>69</v>
      </c>
      <c r="C23" s="12">
        <v>52390</v>
      </c>
      <c r="D23" s="12"/>
      <c r="E23" s="12">
        <v>1437</v>
      </c>
      <c r="F23" s="12"/>
      <c r="G23" s="12">
        <v>32319</v>
      </c>
      <c r="H23" s="12"/>
      <c r="I23" s="12">
        <v>43779</v>
      </c>
      <c r="J23" s="12"/>
      <c r="K23" s="12">
        <v>180</v>
      </c>
      <c r="L23" s="12"/>
      <c r="M23" s="12">
        <v>5119</v>
      </c>
      <c r="N23" s="12"/>
      <c r="O23" s="12">
        <v>5041</v>
      </c>
      <c r="P23" s="12"/>
      <c r="Q23" s="12">
        <v>8275</v>
      </c>
      <c r="R23" s="12"/>
      <c r="S23" s="12">
        <v>0</v>
      </c>
      <c r="T23" s="12"/>
      <c r="U23" s="12">
        <v>110</v>
      </c>
      <c r="V23" s="12"/>
      <c r="W23" s="12">
        <v>-148650</v>
      </c>
      <c r="X23" s="12"/>
      <c r="Y23" s="12"/>
      <c r="Z23" s="12"/>
    </row>
    <row r="24" spans="1:26" x14ac:dyDescent="0.2">
      <c r="A24" s="24" t="s">
        <v>70</v>
      </c>
      <c r="C24" s="13">
        <v>17633</v>
      </c>
      <c r="D24" s="12"/>
      <c r="E24" s="13">
        <v>423</v>
      </c>
      <c r="F24" s="12"/>
      <c r="G24" s="13">
        <v>15420</v>
      </c>
      <c r="H24" s="12"/>
      <c r="I24" s="13">
        <v>8528</v>
      </c>
      <c r="J24" s="12"/>
      <c r="K24" s="13">
        <v>240</v>
      </c>
      <c r="L24" s="12"/>
      <c r="M24" s="13">
        <v>1117</v>
      </c>
      <c r="N24" s="12"/>
      <c r="O24" s="13">
        <v>2961</v>
      </c>
      <c r="P24" s="12"/>
      <c r="Q24" s="13">
        <v>5241</v>
      </c>
      <c r="R24" s="12"/>
      <c r="S24" s="13">
        <v>5348</v>
      </c>
      <c r="T24" s="12"/>
      <c r="U24" s="13">
        <v>-56910</v>
      </c>
      <c r="V24" s="12"/>
      <c r="W24" s="13"/>
      <c r="X24" s="12"/>
      <c r="Y24" s="13"/>
      <c r="Z24" s="12"/>
    </row>
    <row r="25" spans="1:26" x14ac:dyDescent="0.2">
      <c r="A25" s="24"/>
      <c r="C25" s="35"/>
      <c r="D25" s="12"/>
      <c r="E25" s="35"/>
      <c r="F25" s="12"/>
      <c r="G25" s="35"/>
      <c r="H25" s="12"/>
      <c r="I25" s="35"/>
      <c r="J25" s="12"/>
      <c r="K25" s="35"/>
      <c r="L25" s="12"/>
      <c r="M25" s="35"/>
      <c r="N25" s="12"/>
      <c r="O25" s="35"/>
      <c r="P25" s="12"/>
      <c r="Q25" s="35"/>
      <c r="R25" s="12"/>
      <c r="S25" s="35"/>
      <c r="T25" s="12"/>
      <c r="U25" s="35"/>
      <c r="V25" s="12"/>
      <c r="W25" s="35"/>
      <c r="X25" s="12"/>
      <c r="Y25" s="35"/>
      <c r="Z25" s="12"/>
    </row>
    <row r="26" spans="1:26" x14ac:dyDescent="0.2">
      <c r="A26" s="24" t="s">
        <v>58</v>
      </c>
      <c r="C26" s="13">
        <f>SUM(C20:C25)</f>
        <v>806023</v>
      </c>
      <c r="D26" s="12"/>
      <c r="E26" s="13">
        <f>SUM(E20:E25)</f>
        <v>33860</v>
      </c>
      <c r="F26" s="12"/>
      <c r="G26" s="13">
        <f>SUM(G20:G25)</f>
        <v>1495803</v>
      </c>
      <c r="H26" s="12"/>
      <c r="I26" s="13">
        <f>SUM(I20:I25)</f>
        <v>803430</v>
      </c>
      <c r="J26" s="12"/>
      <c r="K26" s="13">
        <f>SUM(K20:K25)</f>
        <v>333420</v>
      </c>
      <c r="L26" s="12"/>
      <c r="M26" s="13">
        <f>SUM(M20:M25)</f>
        <v>287236</v>
      </c>
      <c r="N26" s="12"/>
      <c r="O26" s="13">
        <f>SUM(O20:O25)</f>
        <v>2418302</v>
      </c>
      <c r="P26" s="12"/>
      <c r="Q26" s="13">
        <f>SUM(Q20:Q25)</f>
        <v>310516</v>
      </c>
      <c r="R26" s="12"/>
      <c r="S26" s="13">
        <f>SUM(S20:S25)</f>
        <v>18348</v>
      </c>
      <c r="T26" s="12"/>
      <c r="U26" s="13">
        <f>SUM(U20:U25)</f>
        <v>0</v>
      </c>
      <c r="V26" s="12"/>
      <c r="W26" s="13">
        <f>SUM(W20:W25)</f>
        <v>0</v>
      </c>
      <c r="X26" s="12"/>
      <c r="Y26" s="13">
        <f>SUM(Y20:Y25)</f>
        <v>6506937</v>
      </c>
      <c r="Z26" s="12"/>
    </row>
    <row r="27" spans="1:26" x14ac:dyDescent="0.2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6.5" thickBot="1" x14ac:dyDescent="0.3">
      <c r="A28" s="9" t="s">
        <v>61</v>
      </c>
      <c r="C28" s="14">
        <f>+C17+C26</f>
        <v>3516063</v>
      </c>
      <c r="D28" s="12"/>
      <c r="E28" s="14">
        <f>+E17+E26</f>
        <v>98877</v>
      </c>
      <c r="F28" s="12"/>
      <c r="G28" s="14">
        <f>+G17+G26</f>
        <v>3865670</v>
      </c>
      <c r="H28" s="12"/>
      <c r="I28" s="14">
        <f>+I17+I26</f>
        <v>2114045</v>
      </c>
      <c r="J28" s="12"/>
      <c r="K28" s="14">
        <f>+K17+K26</f>
        <v>370279</v>
      </c>
      <c r="L28" s="12"/>
      <c r="M28" s="14">
        <f>+M17+M26</f>
        <v>458875</v>
      </c>
      <c r="N28" s="12"/>
      <c r="O28" s="14">
        <f>+O17+O26</f>
        <v>2873340</v>
      </c>
      <c r="P28" s="12"/>
      <c r="Q28" s="14">
        <f>+Q17+Q26</f>
        <v>1115948</v>
      </c>
      <c r="R28" s="12"/>
      <c r="S28" s="14">
        <f>+S17+S26</f>
        <v>840302</v>
      </c>
      <c r="T28" s="12"/>
      <c r="U28" s="14">
        <f>+U17+U26</f>
        <v>0</v>
      </c>
      <c r="V28" s="12"/>
      <c r="W28" s="14">
        <f>+W17+W26</f>
        <v>0</v>
      </c>
      <c r="X28" s="12"/>
      <c r="Y28" s="14">
        <f>+Y17+Y26</f>
        <v>15253399</v>
      </c>
      <c r="Z28" s="12"/>
    </row>
    <row r="29" spans="1:26" ht="15.75" thickTop="1" x14ac:dyDescent="0.2"/>
    <row r="30" spans="1:26" ht="15.75" x14ac:dyDescent="0.25">
      <c r="A30" s="37" t="s">
        <v>62</v>
      </c>
    </row>
    <row r="32" spans="1:26" x14ac:dyDescent="0.2">
      <c r="I32" t="s">
        <v>42</v>
      </c>
    </row>
    <row r="33" spans="1:17" x14ac:dyDescent="0.2">
      <c r="A33" t="s">
        <v>6</v>
      </c>
      <c r="E33" s="33">
        <f>343932.598+4910.52</f>
        <v>348843.11800000002</v>
      </c>
      <c r="I33" t="s">
        <v>6</v>
      </c>
      <c r="O33">
        <v>7436</v>
      </c>
    </row>
    <row r="34" spans="1:17" x14ac:dyDescent="0.2">
      <c r="A34" t="s">
        <v>11</v>
      </c>
      <c r="E34" s="34">
        <v>168595</v>
      </c>
      <c r="I34" t="s">
        <v>11</v>
      </c>
      <c r="O34" s="1">
        <v>919</v>
      </c>
    </row>
    <row r="35" spans="1:17" x14ac:dyDescent="0.2">
      <c r="E35" s="26"/>
    </row>
    <row r="36" spans="1:17" x14ac:dyDescent="0.2">
      <c r="A36" t="s">
        <v>5</v>
      </c>
      <c r="E36" s="26">
        <f>SUM(E33:E35)</f>
        <v>517438.11800000002</v>
      </c>
      <c r="I36" t="s">
        <v>20</v>
      </c>
      <c r="O36">
        <f>SUM(O33:O35)</f>
        <v>8355</v>
      </c>
    </row>
    <row r="37" spans="1:17" x14ac:dyDescent="0.2">
      <c r="E37" s="26"/>
    </row>
    <row r="38" spans="1:17" x14ac:dyDescent="0.2">
      <c r="A38" t="s">
        <v>15</v>
      </c>
      <c r="E38" s="33">
        <f>(2136*37500/1000)</f>
        <v>80100</v>
      </c>
      <c r="I38" t="s">
        <v>15</v>
      </c>
      <c r="O38">
        <v>2135.5</v>
      </c>
    </row>
    <row r="39" spans="1:17" x14ac:dyDescent="0.2">
      <c r="A39" t="s">
        <v>13</v>
      </c>
      <c r="E39" s="36">
        <f>(13296*4500)/1000</f>
        <v>59832</v>
      </c>
      <c r="I39" t="s">
        <v>13</v>
      </c>
      <c r="O39" s="1">
        <v>13296</v>
      </c>
    </row>
    <row r="40" spans="1:17" x14ac:dyDescent="0.2">
      <c r="A40" s="24" t="s">
        <v>16</v>
      </c>
      <c r="E40" s="27">
        <f>IF(SUM(E36:E39)&lt;2000000,IF(2000000-SUM(E36:E39)&lt;E36,2000000-SUM(E36:E39),+E36+375000),0)</f>
        <v>892438.11800000002</v>
      </c>
    </row>
    <row r="41" spans="1:17" x14ac:dyDescent="0.2">
      <c r="E41" s="26"/>
    </row>
    <row r="42" spans="1:17" x14ac:dyDescent="0.2">
      <c r="A42" t="s">
        <v>5</v>
      </c>
      <c r="E42" s="27">
        <f>SUM(E38:E41)</f>
        <v>1032370.118</v>
      </c>
      <c r="I42" t="s">
        <v>20</v>
      </c>
      <c r="O42" s="1">
        <f>SUM(O38:O41)</f>
        <v>15431.5</v>
      </c>
    </row>
    <row r="43" spans="1:17" x14ac:dyDescent="0.2">
      <c r="E43" s="26"/>
    </row>
    <row r="44" spans="1:17" x14ac:dyDescent="0.2">
      <c r="A44" t="s">
        <v>40</v>
      </c>
      <c r="E44" s="26">
        <f>E36+E42</f>
        <v>1549808.236</v>
      </c>
      <c r="I44" t="s">
        <v>41</v>
      </c>
      <c r="O44">
        <f>O36+O42</f>
        <v>23786.5</v>
      </c>
    </row>
    <row r="46" spans="1:17" x14ac:dyDescent="0.2">
      <c r="E46" s="23"/>
    </row>
    <row r="47" spans="1:17" x14ac:dyDescent="0.2">
      <c r="A47" t="s">
        <v>46</v>
      </c>
      <c r="E47" s="32">
        <v>0.75</v>
      </c>
      <c r="I47" t="s">
        <v>45</v>
      </c>
      <c r="Q47" s="3">
        <v>0.25</v>
      </c>
    </row>
    <row r="48" spans="1:17" x14ac:dyDescent="0.2">
      <c r="A48" t="s">
        <v>6</v>
      </c>
      <c r="C48" s="3">
        <f>E33/E$44</f>
        <v>0.22508792371651845</v>
      </c>
      <c r="I48" t="s">
        <v>6</v>
      </c>
      <c r="O48" s="3">
        <f>O33/O$44</f>
        <v>0.31261429802619134</v>
      </c>
    </row>
    <row r="49" spans="1:26" x14ac:dyDescent="0.2">
      <c r="A49" t="s">
        <v>11</v>
      </c>
      <c r="C49" s="6">
        <f>E34/E$44</f>
        <v>0.10878442641080402</v>
      </c>
      <c r="I49" t="s">
        <v>11</v>
      </c>
      <c r="O49" s="6">
        <f>O34/O$44</f>
        <v>3.8635360393500517E-2</v>
      </c>
    </row>
    <row r="50" spans="1:26" ht="15.75" x14ac:dyDescent="0.25">
      <c r="S50" s="39" t="s">
        <v>76</v>
      </c>
      <c r="T50" s="39"/>
      <c r="U50" s="39"/>
      <c r="V50" s="39"/>
      <c r="W50" s="39"/>
      <c r="X50" s="39"/>
      <c r="Y50" s="39"/>
      <c r="Z50" s="40"/>
    </row>
    <row r="51" spans="1:26" ht="15.75" x14ac:dyDescent="0.25">
      <c r="A51" t="s">
        <v>5</v>
      </c>
      <c r="C51" s="3">
        <f>SUM(C48:E50)</f>
        <v>0.33387235012732247</v>
      </c>
      <c r="I51" t="s">
        <v>20</v>
      </c>
      <c r="O51" s="3">
        <f>SUM(O48:O50)</f>
        <v>0.35124965841969186</v>
      </c>
      <c r="S51" s="41" t="s">
        <v>77</v>
      </c>
      <c r="T51" s="41"/>
      <c r="U51" s="41"/>
      <c r="V51" s="39"/>
      <c r="W51" s="39"/>
      <c r="X51" s="39"/>
      <c r="Y51" s="39"/>
      <c r="Z51" s="40"/>
    </row>
    <row r="52" spans="1:26" ht="15.75" x14ac:dyDescent="0.25">
      <c r="M52" s="9" t="s">
        <v>74</v>
      </c>
      <c r="S52" s="39" t="s">
        <v>78</v>
      </c>
      <c r="T52" s="39"/>
      <c r="U52" s="39"/>
      <c r="V52" s="39"/>
      <c r="W52" s="39"/>
      <c r="X52" s="39"/>
      <c r="Y52" s="39"/>
      <c r="Z52" s="39"/>
    </row>
    <row r="53" spans="1:26" x14ac:dyDescent="0.2">
      <c r="A53" t="s">
        <v>15</v>
      </c>
      <c r="C53" s="3">
        <f>E38/E$44</f>
        <v>5.1683813609569695E-2</v>
      </c>
      <c r="I53" t="s">
        <v>15</v>
      </c>
      <c r="O53" s="3">
        <f>O38/O$44</f>
        <v>8.9777815147247392E-2</v>
      </c>
    </row>
    <row r="54" spans="1:26" x14ac:dyDescent="0.2">
      <c r="A54" t="s">
        <v>13</v>
      </c>
      <c r="C54" s="3">
        <f>E39/E$44</f>
        <v>3.8606066615328012E-2</v>
      </c>
      <c r="I54" t="s">
        <v>13</v>
      </c>
      <c r="O54" s="3">
        <f>O39/O$44</f>
        <v>0.55897252643306072</v>
      </c>
    </row>
    <row r="55" spans="1:26" x14ac:dyDescent="0.2">
      <c r="A55" s="24" t="s">
        <v>16</v>
      </c>
      <c r="C55" s="6">
        <f>E40/E$44</f>
        <v>0.57583776964777977</v>
      </c>
      <c r="O55" s="6"/>
    </row>
    <row r="57" spans="1:26" x14ac:dyDescent="0.2">
      <c r="A57" t="s">
        <v>5</v>
      </c>
      <c r="C57" s="6">
        <f>SUM(C53:E56)</f>
        <v>0.66612764987267747</v>
      </c>
      <c r="I57" t="s">
        <v>20</v>
      </c>
      <c r="O57" s="6">
        <f>SUM(O53:O56)</f>
        <v>0.64875034158030809</v>
      </c>
    </row>
    <row r="59" spans="1:26" x14ac:dyDescent="0.2">
      <c r="A59" t="s">
        <v>51</v>
      </c>
      <c r="C59" s="3">
        <f>C51+C57</f>
        <v>1</v>
      </c>
      <c r="I59" t="s">
        <v>51</v>
      </c>
      <c r="O59" s="3">
        <f>O51+O57</f>
        <v>1</v>
      </c>
    </row>
    <row r="62" spans="1:26" x14ac:dyDescent="0.2">
      <c r="A62" t="s">
        <v>47</v>
      </c>
    </row>
    <row r="63" spans="1:26" x14ac:dyDescent="0.2">
      <c r="A63" t="s">
        <v>6</v>
      </c>
      <c r="C63" s="3">
        <f>(C48*E$47)+(O48*Q$47)</f>
        <v>0.24696951729393668</v>
      </c>
    </row>
    <row r="64" spans="1:26" x14ac:dyDescent="0.2">
      <c r="A64" t="s">
        <v>11</v>
      </c>
      <c r="C64" s="6">
        <f>(C49*E$47)+(O49*Q$47)</f>
        <v>9.1247159906478151E-2</v>
      </c>
    </row>
    <row r="66" spans="1:21" x14ac:dyDescent="0.2">
      <c r="A66" t="s">
        <v>5</v>
      </c>
      <c r="C66" s="3">
        <f>SUM(C63:E65)</f>
        <v>0.33821667720041482</v>
      </c>
    </row>
    <row r="68" spans="1:21" x14ac:dyDescent="0.2">
      <c r="A68" t="s">
        <v>15</v>
      </c>
      <c r="C68" s="3">
        <f>(C53*E$47)+(O53*Q$47)</f>
        <v>6.1207313993989119E-2</v>
      </c>
    </row>
    <row r="69" spans="1:21" x14ac:dyDescent="0.2">
      <c r="A69" t="s">
        <v>13</v>
      </c>
      <c r="C69" s="3">
        <f>(C54*E$47)+(O54*Q$47)</f>
        <v>0.1686976815697612</v>
      </c>
    </row>
    <row r="70" spans="1:21" x14ac:dyDescent="0.2">
      <c r="A70" s="24" t="s">
        <v>16</v>
      </c>
      <c r="C70" s="6">
        <f>(C55*E$47)+(O55*Q$47)</f>
        <v>0.43187832723583486</v>
      </c>
    </row>
    <row r="72" spans="1:21" x14ac:dyDescent="0.2">
      <c r="A72" t="s">
        <v>5</v>
      </c>
      <c r="C72" s="6">
        <f>SUM(C68:E71)</f>
        <v>0.66178332279958518</v>
      </c>
    </row>
    <row r="74" spans="1:21" x14ac:dyDescent="0.2">
      <c r="A74" t="s">
        <v>52</v>
      </c>
      <c r="C74" s="3">
        <f>C66+C72</f>
        <v>1</v>
      </c>
    </row>
    <row r="75" spans="1:21" x14ac:dyDescent="0.2">
      <c r="T75" s="12"/>
    </row>
    <row r="76" spans="1:21" x14ac:dyDescent="0.2">
      <c r="T76" s="12"/>
    </row>
    <row r="78" spans="1:21" ht="16.5" x14ac:dyDescent="0.25">
      <c r="A78" s="21" t="s">
        <v>54</v>
      </c>
      <c r="B78" s="22"/>
      <c r="C78" s="22"/>
      <c r="G78" s="21" t="s">
        <v>79</v>
      </c>
      <c r="H78" s="22"/>
      <c r="I78" s="22"/>
      <c r="J78" s="42"/>
      <c r="K78" s="22"/>
      <c r="O78" s="21" t="s">
        <v>53</v>
      </c>
      <c r="P78" s="22"/>
      <c r="Q78" s="22"/>
      <c r="R78" s="22"/>
      <c r="S78" s="22"/>
      <c r="T78" s="22"/>
      <c r="U78" s="43"/>
    </row>
    <row r="79" spans="1:21" x14ac:dyDescent="0.2">
      <c r="B79" s="17"/>
      <c r="C79" s="17"/>
      <c r="K79" s="17"/>
    </row>
    <row r="81" spans="1:23" ht="16.5" x14ac:dyDescent="0.25">
      <c r="A81" s="4" t="s">
        <v>12</v>
      </c>
      <c r="B81" s="4"/>
      <c r="C81" s="19">
        <f>+C28</f>
        <v>3516063</v>
      </c>
      <c r="D81" s="4"/>
      <c r="E81" s="4"/>
      <c r="F81" s="4"/>
      <c r="G81" s="4" t="s">
        <v>12</v>
      </c>
      <c r="H81" s="4"/>
      <c r="I81" s="4"/>
      <c r="J81" s="4"/>
      <c r="K81" s="19">
        <f>E28</f>
        <v>98877</v>
      </c>
      <c r="L81" s="4"/>
      <c r="M81" s="4"/>
      <c r="N81" s="4"/>
      <c r="O81" s="4" t="s">
        <v>12</v>
      </c>
      <c r="P81" s="4"/>
      <c r="Q81" s="4"/>
      <c r="R81" s="4"/>
      <c r="S81" s="4"/>
      <c r="T81" s="4"/>
      <c r="U81" s="2"/>
      <c r="W81" s="19">
        <f>G28</f>
        <v>3865670</v>
      </c>
    </row>
    <row r="82" spans="1:23" ht="16.5" x14ac:dyDescent="0.25">
      <c r="A82" s="4" t="s">
        <v>7</v>
      </c>
      <c r="B82" s="4"/>
      <c r="C82" s="8">
        <f>C66</f>
        <v>0.33821667720041482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W82" s="4"/>
    </row>
    <row r="83" spans="1:23" ht="16.5" x14ac:dyDescent="0.25">
      <c r="A83" s="4"/>
      <c r="B83" s="4"/>
      <c r="C83" s="4"/>
      <c r="D83" s="4"/>
      <c r="E83" s="4"/>
      <c r="F83" s="4"/>
      <c r="G83" s="4" t="s">
        <v>10</v>
      </c>
      <c r="H83" s="4"/>
      <c r="I83" s="4"/>
      <c r="J83" s="4"/>
      <c r="K83" s="18">
        <f>+E33</f>
        <v>348843.11800000002</v>
      </c>
      <c r="L83" s="4"/>
      <c r="M83" s="4"/>
      <c r="N83" s="4"/>
      <c r="O83" s="4" t="s">
        <v>19</v>
      </c>
      <c r="P83" s="4"/>
      <c r="Q83" s="4"/>
      <c r="R83" s="4"/>
      <c r="S83" s="4"/>
      <c r="T83" s="4"/>
      <c r="W83" s="18">
        <f>U96</f>
        <v>96647.75</v>
      </c>
    </row>
    <row r="84" spans="1:23" ht="16.5" x14ac:dyDescent="0.25">
      <c r="A84" s="4" t="s">
        <v>9</v>
      </c>
      <c r="B84" s="4"/>
      <c r="C84" s="19">
        <f>ROUND(C81*C82,0)</f>
        <v>1189191</v>
      </c>
    </row>
    <row r="85" spans="1:23" ht="18.75" thickBot="1" x14ac:dyDescent="0.3">
      <c r="A85" s="4"/>
      <c r="B85" s="4"/>
      <c r="C85" s="4"/>
      <c r="G85" s="7" t="s">
        <v>80</v>
      </c>
      <c r="K85" s="20">
        <f>K81/K83</f>
        <v>0.28344259897367385</v>
      </c>
      <c r="O85" s="7" t="s">
        <v>3</v>
      </c>
      <c r="U85" s="5"/>
      <c r="W85" s="20">
        <f>W81/W83</f>
        <v>39.997516755434035</v>
      </c>
    </row>
    <row r="86" spans="1:23" ht="17.25" thickTop="1" x14ac:dyDescent="0.25">
      <c r="A86" s="4" t="s">
        <v>10</v>
      </c>
      <c r="B86" s="4"/>
      <c r="C86" s="18">
        <f>E36</f>
        <v>517438.11800000002</v>
      </c>
      <c r="I86" t="s">
        <v>0</v>
      </c>
    </row>
    <row r="88" spans="1:23" ht="18.75" thickBot="1" x14ac:dyDescent="0.3">
      <c r="A88" s="7" t="s">
        <v>2</v>
      </c>
      <c r="C88" s="20">
        <f>ROUND(C84/C86,2)</f>
        <v>2.2999999999999998</v>
      </c>
    </row>
    <row r="89" spans="1:23" ht="15.75" thickTop="1" x14ac:dyDescent="0.2"/>
    <row r="91" spans="1:23" ht="15.75" x14ac:dyDescent="0.25">
      <c r="C91" s="28"/>
      <c r="D91" s="9"/>
      <c r="O91" t="s">
        <v>50</v>
      </c>
      <c r="U91" s="12"/>
    </row>
    <row r="92" spans="1:23" ht="15.75" x14ac:dyDescent="0.25">
      <c r="A92" s="9"/>
      <c r="B92" s="9"/>
      <c r="C92" s="9"/>
      <c r="D92" s="9"/>
      <c r="E92" s="9"/>
      <c r="F92" s="9"/>
      <c r="G92" s="9"/>
      <c r="O92" t="s">
        <v>17</v>
      </c>
      <c r="U92" s="12">
        <v>114813</v>
      </c>
    </row>
    <row r="93" spans="1:23" ht="15.75" x14ac:dyDescent="0.25">
      <c r="A93" s="38"/>
      <c r="B93" s="38"/>
      <c r="C93" s="38"/>
      <c r="D93" s="9"/>
      <c r="E93" s="9"/>
      <c r="F93" s="9"/>
      <c r="G93" s="9"/>
      <c r="O93" t="s">
        <v>14</v>
      </c>
      <c r="U93" s="12">
        <v>10307.5</v>
      </c>
    </row>
    <row r="94" spans="1:23" x14ac:dyDescent="0.2">
      <c r="O94" t="s">
        <v>1</v>
      </c>
      <c r="U94" s="13">
        <f>7639+218.75</f>
        <v>7857.75</v>
      </c>
    </row>
    <row r="95" spans="1:23" x14ac:dyDescent="0.2">
      <c r="U95" s="12"/>
    </row>
    <row r="96" spans="1:23" ht="15.75" thickBot="1" x14ac:dyDescent="0.25">
      <c r="O96" t="s">
        <v>18</v>
      </c>
      <c r="U96" s="14">
        <f>U92-SUM(U93:U94)</f>
        <v>96647.75</v>
      </c>
    </row>
    <row r="97" spans="1:21" ht="15.75" thickTop="1" x14ac:dyDescent="0.2">
      <c r="U97" s="12"/>
    </row>
    <row r="98" spans="1:21" x14ac:dyDescent="0.2">
      <c r="U98" s="12"/>
    </row>
    <row r="99" spans="1:21" x14ac:dyDescent="0.2">
      <c r="O99" t="s">
        <v>8</v>
      </c>
      <c r="U99" s="12">
        <f>39212+6779</f>
        <v>45991</v>
      </c>
    </row>
    <row r="100" spans="1:21" x14ac:dyDescent="0.2">
      <c r="U100" s="12"/>
    </row>
    <row r="101" spans="1:21" ht="15.75" x14ac:dyDescent="0.25">
      <c r="A101" s="39" t="s">
        <v>76</v>
      </c>
      <c r="B101" s="39"/>
      <c r="C101" s="39"/>
      <c r="D101" s="39"/>
      <c r="E101" s="39"/>
      <c r="F101" s="39"/>
      <c r="G101" s="39"/>
      <c r="O101" t="s">
        <v>55</v>
      </c>
      <c r="U101" s="3">
        <f>+U99/U96</f>
        <v>0.47586208680491787</v>
      </c>
    </row>
    <row r="102" spans="1:21" ht="15.75" x14ac:dyDescent="0.25">
      <c r="A102" s="39" t="s">
        <v>78</v>
      </c>
      <c r="B102" s="39"/>
      <c r="C102" s="39"/>
      <c r="D102" s="39"/>
      <c r="E102" s="39"/>
      <c r="F102" s="39"/>
      <c r="G102" s="39"/>
    </row>
    <row r="103" spans="1:21" ht="15.75" x14ac:dyDescent="0.25">
      <c r="M103" s="9" t="s">
        <v>75</v>
      </c>
    </row>
  </sheetData>
  <pageMargins left="0.17" right="0.18" top="1" bottom="0.25" header="0.17" footer="0.41"/>
  <pageSetup scale="65" orientation="landscape" r:id="rId1"/>
  <headerFooter scaleWithDoc="0" alignWithMargins="0">
    <oddHeader>&amp;C
&amp;"Arial,Bold"&amp;14EXHIBIT F
ILLUSTRATION OF RATES AND CHARGES CALCULATION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wner xmlns="31410167-6F48-4A10-9F21-EE5A9706201A">
      <UserInfo>
        <DisplayName/>
        <AccountId xsi:nil="true"/>
        <AccountType/>
      </UserInfo>
    </Owner>
    <Status xmlns="31410167-6F48-4A10-9F21-EE5A9706201A">Final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$Resources:CType_PWS_Document(1)" ma:contentTypeID="0x0101008A98423170284BEEB635F43C3CF4E98B0034A2DA76622F09459938C211E918F098" ma:contentTypeVersion="0" ma:contentTypeDescription="" ma:contentTypeScope="" ma:versionID="006c32492049d7c575a9b71c8584facd">
  <xsd:schema xmlns:xsd="http://www.w3.org/2001/XMLSchema" xmlns:p="http://schemas.microsoft.com/office/2006/metadata/properties" xmlns:ns2="31410167-6F48-4A10-9F21-EE5A9706201A" targetNamespace="http://schemas.microsoft.com/office/2006/metadata/properties" ma:root="true" ma:fieldsID="f409bb761bb3d27965e0dff163362c09" ns2:_="">
    <xsd:import namespace="31410167-6F48-4A10-9F21-EE5A9706201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1410167-6F48-4A10-9F21-EE5A9706201A" elementFormDefault="qualified">
    <xsd:import namespace="http://schemas.microsoft.com/office/2006/documentManagement/type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E9B8F94-732E-4BE7-817F-DC91EF1BCBC3}">
  <ds:schemaRefs>
    <ds:schemaRef ds:uri="31410167-6F48-4A10-9F21-EE5A9706201A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89B72D-CD10-449A-AD15-6BD1033EE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1649F-F7E2-458A-BB78-E3F7C2ACD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410167-6F48-4A10-9F21-EE5A9706201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 &amp; Charges Illustration</vt:lpstr>
      <vt:lpstr>'Rates &amp; Charges Illustration'!Print_Area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Q. Wu</dc:creator>
  <cp:lastModifiedBy>Joy Q. Wu</cp:lastModifiedBy>
  <cp:lastPrinted>2010-06-30T14:42:08Z</cp:lastPrinted>
  <dcterms:created xsi:type="dcterms:W3CDTF">2006-03-03T18:44:35Z</dcterms:created>
  <dcterms:modified xsi:type="dcterms:W3CDTF">2014-08-26T18:47:30Z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0x0101008A98423170284BEEB635F43C3CF4E98B0034A2DA76622F09459938C211E918F098</vt:lpwstr>
  </property>
</Properties>
</file>